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E:\1 - COMPARTILHAMENTO\1 - PREFEITURAS\2024\SANTO ANTONIO DOS LOPES\RECUPERAÇÃO DE ESTRADA VICINAL - CAIXA - R$ 4.790.919,00\1 - ORÇAMENTO\"/>
    </mc:Choice>
  </mc:AlternateContent>
  <xr:revisionPtr revIDLastSave="0" documentId="13_ncr:1_{7E964794-1BE2-43AD-9510-18DB64AEECC2}" xr6:coauthVersionLast="44" xr6:coauthVersionMax="47" xr10:uidLastSave="{00000000-0000-0000-0000-000000000000}"/>
  <bookViews>
    <workbookView xWindow="-120" yWindow="-120" windowWidth="21840" windowHeight="13140" tabRatio="792" xr2:uid="{00000000-000D-0000-FFFF-FFFF00000000}"/>
  </bookViews>
  <sheets>
    <sheet name="MEMORIA" sheetId="3" r:id="rId1"/>
    <sheet name="D.M.T" sheetId="5" r:id="rId2"/>
    <sheet name="0" sheetId="7" state="hidden" r:id="rId3"/>
  </sheets>
  <externalReferences>
    <externalReference r:id="rId4"/>
    <externalReference r:id="rId5"/>
    <externalReference r:id="rId6"/>
  </externalReferences>
  <definedNames>
    <definedName name="_xlnm._FilterDatabase" localSheetId="2" hidden="1">'0'!#REF!</definedName>
    <definedName name="_xlnm.Print_Area" localSheetId="2">'0'!#REF!</definedName>
    <definedName name="_xlnm.Print_Area" localSheetId="1">D.M.T!$A$1:$Q$98</definedName>
    <definedName name="_xlnm.Print_Area" localSheetId="0">MEMORIA!$B$1:$O$59</definedName>
    <definedName name="asd">#REF!</definedName>
    <definedName name="DESONERACAO" hidden="1">IF(OR(Import.Desoneracao="DESONERADO",Import.Desoneracao="SIM"),"SIM","NÃO")</definedName>
    <definedName name="Import.Desoneracao" hidden="1">OFFSET([1]DADOS!$G$18,0,-1)</definedName>
    <definedName name="Imprimir_Títulos" localSheetId="0">MEMORIA!#REF!</definedName>
    <definedName name="ORÇAMENTO.BancoRef" localSheetId="2" hidden="1">[2]COMPOSIÇÃO!#REF!</definedName>
    <definedName name="ORÇAMENTO.BancoRef" hidden="1">[3]COMP!$F$8</definedName>
    <definedName name="REFERENCIA.Descricao" localSheetId="2" hidden="1">IF(ISNUMBER([2]COMPOSIÇÃO!$AF1),OFFSET(INDIRECT('0'!ORÇAMENTO.BancoRef),[2]COMPOSIÇÃO!$AF1-1,3,1),[2]COMPOSIÇÃO!$AF1)</definedName>
    <definedName name="REFERENCIA.Descricao" hidden="1">IF(ISNUMBER([3]COMP!$AF1),OFFSET(INDIRECT(ORÇAMENTO.BancoRef),[3]COMP!$AF1-1,3,1),[3]COMP!$AF1)</definedName>
    <definedName name="sde">#REF!</definedName>
    <definedName name="TaxadeQuilometragem" localSheetId="2">#REF!</definedName>
    <definedName name="TaxadeQuilometragem" localSheetId="1">#REF!</definedName>
    <definedName name="TaxadeQuilometragem" localSheetId="0">MEMORIA!#REF!</definedName>
    <definedName name="TaxadeQuilometragem">#REF!</definedName>
    <definedName name="_xlnm.Print_Titles" localSheetId="2">'0'!#REF!</definedName>
    <definedName name="_xlnm.Print_Titles" localSheetId="1">D.M.T!$1:$14</definedName>
    <definedName name="_xlnm.Print_Titles" localSheetId="0">MEMORIA!$1:$8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9" i="3" l="1"/>
  <c r="R56" i="3"/>
  <c r="Q56" i="3"/>
  <c r="P56" i="3"/>
  <c r="U24" i="3" l="1"/>
  <c r="T24" i="3"/>
  <c r="S24" i="3"/>
  <c r="S38" i="3" l="1"/>
  <c r="P38" i="3"/>
  <c r="R38" i="3" s="1"/>
  <c r="R24" i="3" l="1"/>
  <c r="Q24" i="3"/>
  <c r="P24" i="3"/>
  <c r="O56" i="3" l="1"/>
  <c r="L51" i="3" l="1"/>
  <c r="L49" i="3"/>
  <c r="L48" i="3"/>
  <c r="L47" i="3"/>
  <c r="L46" i="3"/>
  <c r="L45" i="3"/>
  <c r="L44" i="3"/>
  <c r="L42" i="3"/>
  <c r="E41" i="3"/>
  <c r="E42" i="3"/>
  <c r="E43" i="3"/>
  <c r="E44" i="3"/>
  <c r="E45" i="3"/>
  <c r="E46" i="3"/>
  <c r="E47" i="3"/>
  <c r="E48" i="3"/>
  <c r="E49" i="3"/>
  <c r="E50" i="3"/>
  <c r="E51" i="3"/>
  <c r="E40" i="3"/>
  <c r="K95" i="5" l="1"/>
  <c r="O95" i="5" s="1"/>
  <c r="K89" i="5"/>
  <c r="O89" i="5" s="1"/>
  <c r="K88" i="5"/>
  <c r="L88" i="5" s="1"/>
  <c r="M88" i="5" s="1"/>
  <c r="K81" i="5"/>
  <c r="O81" i="5" s="1"/>
  <c r="K74" i="5"/>
  <c r="O74" i="5" s="1"/>
  <c r="K67" i="5"/>
  <c r="L67" i="5" s="1"/>
  <c r="M67" i="5" s="1"/>
  <c r="K60" i="5"/>
  <c r="O60" i="5" s="1"/>
  <c r="K53" i="5"/>
  <c r="O53" i="5" s="1"/>
  <c r="K26" i="5"/>
  <c r="O26" i="5" s="1"/>
  <c r="K25" i="5"/>
  <c r="L25" i="5" s="1"/>
  <c r="M25" i="5" s="1"/>
  <c r="K47" i="5"/>
  <c r="O47" i="5" s="1"/>
  <c r="K46" i="5"/>
  <c r="O46" i="5" s="1"/>
  <c r="L95" i="5" l="1"/>
  <c r="M95" i="5" s="1"/>
  <c r="P95" i="5" s="1"/>
  <c r="M98" i="5" s="1"/>
  <c r="L89" i="5"/>
  <c r="M89" i="5" s="1"/>
  <c r="P89" i="5" s="1"/>
  <c r="O88" i="5"/>
  <c r="P88" i="5" s="1"/>
  <c r="L81" i="5"/>
  <c r="M81" i="5" s="1"/>
  <c r="P81" i="5" s="1"/>
  <c r="M84" i="5" s="1"/>
  <c r="L74" i="5"/>
  <c r="M74" i="5" s="1"/>
  <c r="P74" i="5" s="1"/>
  <c r="M77" i="5" s="1"/>
  <c r="O67" i="5"/>
  <c r="P67" i="5" s="1"/>
  <c r="M70" i="5" s="1"/>
  <c r="L60" i="5"/>
  <c r="M60" i="5" s="1"/>
  <c r="P60" i="5" s="1"/>
  <c r="M63" i="5" s="1"/>
  <c r="L53" i="5"/>
  <c r="M53" i="5" s="1"/>
  <c r="P53" i="5" s="1"/>
  <c r="M56" i="5" s="1"/>
  <c r="O25" i="5"/>
  <c r="P25" i="5" s="1"/>
  <c r="L26" i="5"/>
  <c r="M26" i="5" s="1"/>
  <c r="P26" i="5" s="1"/>
  <c r="L47" i="5"/>
  <c r="M47" i="5" s="1"/>
  <c r="P47" i="5" s="1"/>
  <c r="L46" i="5"/>
  <c r="M46" i="5" s="1"/>
  <c r="P46" i="5" s="1"/>
  <c r="M91" i="5" l="1"/>
  <c r="L50" i="3" s="1"/>
  <c r="M28" i="5"/>
  <c r="L41" i="3" s="1"/>
  <c r="M49" i="5"/>
  <c r="G15" i="3" l="1"/>
  <c r="G16" i="3"/>
  <c r="G17" i="3"/>
  <c r="G18" i="3"/>
  <c r="G19" i="3"/>
  <c r="G20" i="3"/>
  <c r="G21" i="3"/>
  <c r="G22" i="3"/>
  <c r="G23" i="3"/>
  <c r="D24" i="3"/>
  <c r="K39" i="5" l="1"/>
  <c r="O39" i="5" s="1"/>
  <c r="L39" i="5" l="1"/>
  <c r="M39" i="5" s="1"/>
  <c r="P39" i="5" s="1"/>
  <c r="M42" i="5" s="1"/>
  <c r="L43" i="3" s="1"/>
  <c r="E52" i="3" l="1"/>
  <c r="G42" i="3"/>
  <c r="G43" i="3" s="1"/>
  <c r="G44" i="3" s="1"/>
  <c r="G45" i="3" s="1"/>
  <c r="G46" i="3" s="1"/>
  <c r="G47" i="3" s="1"/>
  <c r="G48" i="3" s="1"/>
  <c r="G49" i="3" s="1"/>
  <c r="G50" i="3" s="1"/>
  <c r="G51" i="3" s="1"/>
  <c r="F42" i="3"/>
  <c r="F43" i="3" s="1"/>
  <c r="F44" i="3" s="1"/>
  <c r="K32" i="5"/>
  <c r="O32" i="5" s="1"/>
  <c r="N43" i="3" l="1"/>
  <c r="F45" i="3"/>
  <c r="N44" i="3"/>
  <c r="L32" i="5"/>
  <c r="M32" i="5" s="1"/>
  <c r="P32" i="5" s="1"/>
  <c r="M35" i="5" s="1"/>
  <c r="N42" i="3"/>
  <c r="Q41" i="3" s="1"/>
  <c r="R41" i="3" l="1"/>
  <c r="F46" i="3"/>
  <c r="N45" i="3"/>
  <c r="N41" i="3"/>
  <c r="G13" i="3"/>
  <c r="G14" i="3"/>
  <c r="F47" i="3" l="1"/>
  <c r="N46" i="3"/>
  <c r="S41" i="3" s="1"/>
  <c r="F48" i="3" l="1"/>
  <c r="N47" i="3"/>
  <c r="E53" i="3"/>
  <c r="F49" i="3" l="1"/>
  <c r="N48" i="3"/>
  <c r="F52" i="3"/>
  <c r="F50" i="3" l="1"/>
  <c r="N49" i="3"/>
  <c r="T41" i="3" s="1"/>
  <c r="O59" i="3"/>
  <c r="F53" i="3"/>
  <c r="F51" i="3" l="1"/>
  <c r="N51" i="3" s="1"/>
  <c r="N50" i="3"/>
  <c r="Q53" i="3"/>
  <c r="R53" i="3"/>
  <c r="U53" i="3"/>
  <c r="S53" i="3"/>
  <c r="T53" i="3"/>
  <c r="P53" i="3"/>
  <c r="O55" i="3"/>
  <c r="U41" i="3" l="1"/>
  <c r="U38" i="3"/>
  <c r="O38" i="3"/>
  <c r="O58" i="3"/>
  <c r="O53" i="3" l="1"/>
  <c r="O52" i="3"/>
  <c r="F39" i="3" l="1"/>
  <c r="S39" i="3" l="1"/>
  <c r="S52" i="3" s="1"/>
  <c r="U39" i="3"/>
  <c r="U52" i="3" s="1"/>
  <c r="T39" i="3"/>
  <c r="T52" i="3" s="1"/>
  <c r="Q39" i="3"/>
  <c r="Q52" i="3" s="1"/>
  <c r="O39" i="3"/>
  <c r="P39" i="3"/>
  <c r="P52" i="3" s="1"/>
  <c r="R39" i="3"/>
  <c r="R52" i="3" s="1"/>
  <c r="K18" i="5" l="1"/>
  <c r="O18" i="5" l="1"/>
  <c r="L18" i="5"/>
  <c r="M18" i="5" s="1"/>
  <c r="P18" i="5" l="1"/>
  <c r="M21" i="5" s="1"/>
  <c r="L40" i="3" s="1"/>
  <c r="F40" i="3" l="1"/>
  <c r="O32" i="3" l="1"/>
  <c r="N40" i="3" l="1"/>
  <c r="O31" i="3"/>
  <c r="O35" i="3"/>
  <c r="P41" i="3" l="1"/>
  <c r="O40" i="3"/>
  <c r="G12" i="3"/>
  <c r="L8" i="3"/>
  <c r="G24" i="3" l="1"/>
</calcChain>
</file>

<file path=xl/sharedStrings.xml><?xml version="1.0" encoding="utf-8"?>
<sst xmlns="http://schemas.openxmlformats.org/spreadsheetml/2006/main" count="330" uniqueCount="169">
  <si>
    <t>DESCRIÇÃO</t>
  </si>
  <si>
    <t>1.1</t>
  </si>
  <si>
    <t>m²</t>
  </si>
  <si>
    <t>I. Informações Gerais</t>
  </si>
  <si>
    <t>II. Informações do Projeto</t>
  </si>
  <si>
    <t>Obra/Projeto:</t>
  </si>
  <si>
    <t>Proponente:</t>
  </si>
  <si>
    <t>Concedente:</t>
  </si>
  <si>
    <t>Data:</t>
  </si>
  <si>
    <t>V</t>
  </si>
  <si>
    <t>ITEM</t>
  </si>
  <si>
    <t>L</t>
  </si>
  <si>
    <t>L: largura;  C: comprimento;  A/E: altura/espessura;  V: volume;  TX: taxa;  P: peso;  PE: peso específico;  Q: quantidade;  ST: subtotal;  T: total</t>
  </si>
  <si>
    <t>COMP.(m)</t>
  </si>
  <si>
    <t>LARG.(m)</t>
  </si>
  <si>
    <t>ÁREA(m2)</t>
  </si>
  <si>
    <t>UND</t>
  </si>
  <si>
    <t>QUANTIDADES</t>
  </si>
  <si>
    <t>C</t>
  </si>
  <si>
    <t>H</t>
  </si>
  <si>
    <t>A/E</t>
  </si>
  <si>
    <t>TX</t>
  </si>
  <si>
    <t>P</t>
  </si>
  <si>
    <t>PE</t>
  </si>
  <si>
    <t>Q</t>
  </si>
  <si>
    <t>ST</t>
  </si>
  <si>
    <t>T</t>
  </si>
  <si>
    <t>III. Mémoria de cálculo</t>
  </si>
  <si>
    <t>SERVIÇOS PRELIMINARES</t>
  </si>
  <si>
    <t>Memória de Cálculo</t>
  </si>
  <si>
    <t>1.2</t>
  </si>
  <si>
    <t>m³</t>
  </si>
  <si>
    <t>mês</t>
  </si>
  <si>
    <t>und</t>
  </si>
  <si>
    <t>txkm</t>
  </si>
  <si>
    <t>m</t>
  </si>
  <si>
    <t>REVESTIMENTO PRIMÁRIO</t>
  </si>
  <si>
    <t>Memória de Cálculo da DMT</t>
  </si>
  <si>
    <t>1. Informações Gerais</t>
  </si>
  <si>
    <t>QUADROS DE DISTRIBUIÇÃO DE MATERIAL DE JAZIDA - DMT</t>
  </si>
  <si>
    <t>Empolamento:</t>
  </si>
  <si>
    <t>Peso específico:</t>
  </si>
  <si>
    <t>t/m³</t>
  </si>
  <si>
    <t>Distância entre estacas:</t>
  </si>
  <si>
    <t>Espessura:</t>
  </si>
  <si>
    <t xml:space="preserve">  </t>
  </si>
  <si>
    <t>JAZIDA UTILIZADA</t>
  </si>
  <si>
    <t>LOCALIZAÇÃO DA JAZIDA</t>
  </si>
  <si>
    <t>SUB-TRECHO</t>
  </si>
  <si>
    <t>EXTENSÃO
(m)</t>
  </si>
  <si>
    <t>VOLUME EMPOLADO (20%)</t>
  </si>
  <si>
    <t>PESO (t)</t>
  </si>
  <si>
    <t>DISTANCIA FIXA
(Km)</t>
  </si>
  <si>
    <t>TAMANHO MÉDIO DO SUB-TRECHO
(Km)</t>
  </si>
  <si>
    <t>MT SUB-TRECHO</t>
  </si>
  <si>
    <t>E</t>
  </si>
  <si>
    <t>até</t>
  </si>
  <si>
    <t>Km</t>
  </si>
  <si>
    <t>J1 - TRECHO 01</t>
  </si>
  <si>
    <t xml:space="preserve">SERVIÇOS FINAIS </t>
  </si>
  <si>
    <t>ADMINISTRAÇÃO DA OBRA</t>
  </si>
  <si>
    <t>DMT 01 -----&gt;</t>
  </si>
  <si>
    <t>LIMPEZA DA ÁREA DA JAZIDA</t>
  </si>
  <si>
    <t>TRANSPORTE COM CAMINHÃO BASCULANTE DE 10 M³, EM VIA URBANA EM REVESTIMENTO PRIMÁRIO (UNIDADE: TXKM). AF_07/2020</t>
  </si>
  <si>
    <t>ESPALHAMENTO DE MATERIAL COM TRATOR DE ESTEIRAS. AF_11/2019</t>
  </si>
  <si>
    <t>DESMOBILIZAÇÃO DE EQUIPAMENTOS</t>
  </si>
  <si>
    <t>PLACA DE OBRA EM CHAPA GALVANIZADA</t>
  </si>
  <si>
    <t>MOBILIZAÇÃO DE EQUIPAMENTOS</t>
  </si>
  <si>
    <t>ADMINISTRAÇÃO LOCAL DA OBRA</t>
  </si>
  <si>
    <t>M</t>
  </si>
  <si>
    <t>2.1</t>
  </si>
  <si>
    <t>3.1</t>
  </si>
  <si>
    <t>4.1</t>
  </si>
  <si>
    <t>MINISTÉRIO DA INTEGRAÇÃO E DO DESENVOLVIMENTO REGIONAL</t>
  </si>
  <si>
    <t>DMT 01</t>
  </si>
  <si>
    <t>DMT 02</t>
  </si>
  <si>
    <t>5.1</t>
  </si>
  <si>
    <t>3.2</t>
  </si>
  <si>
    <t>3.3</t>
  </si>
  <si>
    <t>3.4</t>
  </si>
  <si>
    <t>3.5</t>
  </si>
  <si>
    <t>DMT 03</t>
  </si>
  <si>
    <t>TOTAL DA EXTENSÃO --&gt;</t>
  </si>
  <si>
    <t>ESCAVAÇÃO HORIZONTAL, INCLUINDO CARGA E DESCARGA EM SOLO DE 1A CATEGORIA COM TRATOR DE ESTEIRAS (100HP/LÂMINA: 2,19M3). AF_07/2020</t>
  </si>
  <si>
    <t>OBRAS DE ARTE CORRENTE - BUEIROS</t>
  </si>
  <si>
    <t>CÁLCULO DA DMT DO TRECHO 3</t>
  </si>
  <si>
    <t>CÁLCULO DA DMT DO TRECHO 1</t>
  </si>
  <si>
    <t>CÁLCULO DA DMT DO TRECHO 2</t>
  </si>
  <si>
    <t>REGULARIZAÇÃO E COMPACTAÇÃO DE SUBLEITO DE SOLO PREDOMINANTEMENTE ARENOSO. AF_11/2019</t>
  </si>
  <si>
    <t>TRECHOS</t>
  </si>
  <si>
    <t>J2 - TRECHO 02</t>
  </si>
  <si>
    <t>DMT 03 -----&gt;</t>
  </si>
  <si>
    <t>TRECHO 01 : POVOADO PÉ DA SERRA AO POVOADO TAMARINDO (ATÉ A DIVISA COM CAPINZAL)</t>
  </si>
  <si>
    <t>TRECHO 02: POVOADO LAGOINHA DOS RODRIGUES AO POVOCADO MUCAMBO</t>
  </si>
  <si>
    <t>TRECHO 4: ACESSO AO POVOADO JATOBÁ DO RAPOSO</t>
  </si>
  <si>
    <t>TRECHO 5: POVOADO JUNCO AO POVOADO SANTANA</t>
  </si>
  <si>
    <t>TRECHO 6: POVOADO SANTANA AO POVOADO SANTA TERESA</t>
  </si>
  <si>
    <t>TRECHO 9: ACESSO POVOADO JENIPAPO DOS FIGUEIREDOS</t>
  </si>
  <si>
    <t>TRECHO 10: POVOADO PACA AO CENTRO DO ADELINO</t>
  </si>
  <si>
    <t>TRECHO 11: POVOADO MANGUEIRA AO POVOADO BAIXÃO DOSBARBOSA</t>
  </si>
  <si>
    <t>TRECHO 12: POVOADO MURIÇOCA AO POVOADO LIVRAMENTO</t>
  </si>
  <si>
    <t>DMT 02  -----&gt;</t>
  </si>
  <si>
    <t>CÁLCULO DA DMT DO TRECHO 4</t>
  </si>
  <si>
    <t>CÁLCULO DA DMT DO TRECHO 5</t>
  </si>
  <si>
    <t>CÁLCULO DA DMT DO TRECHO 6</t>
  </si>
  <si>
    <t>CÁLCULO DA DMT DO TRECHO 7</t>
  </si>
  <si>
    <t>CÁLCULO DA DMT DO TRECHO 8</t>
  </si>
  <si>
    <t>CÁLCULO DA DMT DO TRECHO 9</t>
  </si>
  <si>
    <t>CÁLCULO DA DMT DO TRECHO 10</t>
  </si>
  <si>
    <t>CÁLCULO DA DMT DO TRECHO 11</t>
  </si>
  <si>
    <t>CÁLCULO DA DMT DO TRECHO 12</t>
  </si>
  <si>
    <t>TUBO DE PEAD CORRUGADO DE DUPLA PAREDE PARA REDE COLETORA DE ESGOTO, DN 600 MM, JUNTA ELÁSTICA INTEGRADA - FORNECIMENTO E ASSENTAMENTO. AF_01/2021</t>
  </si>
  <si>
    <t>Essa DMT é referente ao Trecho 01 (quantidade do volume transportado X distância média de transporte) ---&gt;</t>
  </si>
  <si>
    <t>Essa DMT é referente ao Trecho 02 (quantidade do volume transportado X distância média de transporte) ---&gt;</t>
  </si>
  <si>
    <t>Essa DMT é referente ao Trecho 03 (quantidade do volume transportado X distância média de transporte) ---&gt;</t>
  </si>
  <si>
    <t>Essa DMT é referente ao Trecho 04 (quantidade do volume transportado X distância média de transporte) ---&gt;</t>
  </si>
  <si>
    <t>Essa DMT é referente ao Trecho 05 (quantidade do volume transportado X distância média de transporte) ---&gt;</t>
  </si>
  <si>
    <t>Essa DMT é referente ao Trecho 06 (quantidade do volume transportado X distância média de transporte) ---&gt;</t>
  </si>
  <si>
    <t>Essa DMT é referente ao Trecho 07 (quantidade do volume transportado X distância média de transporte) ---&gt;</t>
  </si>
  <si>
    <t>Essa DMT é referente ao Trecho 08 (quantidade do volume transportado X distância média de transporte) ---&gt;</t>
  </si>
  <si>
    <t>Essa DMT é referente ao Trecho 09 (quantidade do volume transportado X distância média de transporte) ---&gt;</t>
  </si>
  <si>
    <t>Essa DMT é referente ao Trecho 10 (quantidade do volume transportado X distância média de transporte) ---&gt;</t>
  </si>
  <si>
    <t>Essa DMT é referente ao Trecho 11 (quantidade do volume transportado X distância média de transporte) ---&gt;</t>
  </si>
  <si>
    <t>Essa DMT é referente ao Trecho 12 (quantidade do volume transportado X distância média de transporte) ---&gt;</t>
  </si>
  <si>
    <t>DMT 04</t>
  </si>
  <si>
    <t>DMT 05</t>
  </si>
  <si>
    <t>DMT 06</t>
  </si>
  <si>
    <t>DMT 07</t>
  </si>
  <si>
    <t>DMT 08</t>
  </si>
  <si>
    <t>DMT 09</t>
  </si>
  <si>
    <t>DMT 10</t>
  </si>
  <si>
    <t>DMT 11</t>
  </si>
  <si>
    <t>DMT 12</t>
  </si>
  <si>
    <t>RECUPERAÇÃO DE ESTRADAS VICINAIS NO MUNICIÍPIO</t>
  </si>
  <si>
    <r>
      <rPr>
        <b/>
        <sz val="12"/>
        <color theme="1"/>
        <rFont val="Calibri"/>
        <family val="2"/>
        <scheme val="major"/>
      </rPr>
      <t>Objeto/obra =</t>
    </r>
    <r>
      <rPr>
        <sz val="12"/>
        <color theme="1"/>
        <rFont val="Calibri"/>
        <family val="2"/>
        <scheme val="major"/>
      </rPr>
      <t xml:space="preserve">  RECUPERAÇÃO DE ESTRADAS VICINAIS NO MUNICÍPIO DE SANTO ANTÔNIO DOS LOPES - MA </t>
    </r>
  </si>
  <si>
    <r>
      <rPr>
        <b/>
        <sz val="12"/>
        <color theme="1"/>
        <rFont val="Calibri"/>
        <family val="2"/>
        <scheme val="major"/>
      </rPr>
      <t>Local/implantação =</t>
    </r>
    <r>
      <rPr>
        <sz val="12"/>
        <color theme="1"/>
        <rFont val="Calibri"/>
        <family val="2"/>
        <scheme val="major"/>
      </rPr>
      <t xml:space="preserve">  POVOADOS LOCALIZADOS NO MUNICIPIO DE SANTO ANTÔNIO DOS LOPES - MA </t>
    </r>
  </si>
  <si>
    <r>
      <rPr>
        <b/>
        <sz val="12"/>
        <color theme="1"/>
        <rFont val="Calibri"/>
        <family val="2"/>
        <scheme val="major"/>
      </rPr>
      <t xml:space="preserve">Proponente/proprietário =  </t>
    </r>
    <r>
      <rPr>
        <sz val="12"/>
        <color theme="1"/>
        <rFont val="Calibri"/>
        <family val="2"/>
        <scheme val="major"/>
      </rPr>
      <t xml:space="preserve">SANTO ANTÔNIO DOS LOPES - MA </t>
    </r>
  </si>
  <si>
    <t>J1 - TRECHO 03</t>
  </si>
  <si>
    <t>J3 - TRECHO 04</t>
  </si>
  <si>
    <t>DMT 04 -----&gt;</t>
  </si>
  <si>
    <t>J4 - TRECHO 05</t>
  </si>
  <si>
    <t>J4 - TRECHO 06</t>
  </si>
  <si>
    <t>DMT 05  -----&gt;</t>
  </si>
  <si>
    <t>DMT 06 -----&gt;</t>
  </si>
  <si>
    <t>J5 - TRECHO 07</t>
  </si>
  <si>
    <t>DMT 07 -----&gt;</t>
  </si>
  <si>
    <t>J5 - TRECHO 08</t>
  </si>
  <si>
    <t>J5 - TRECHO 09</t>
  </si>
  <si>
    <t>J5 - TRECHO 10</t>
  </si>
  <si>
    <t>DMT 08 -----&gt;</t>
  </si>
  <si>
    <t>DMT 09 -----&gt;</t>
  </si>
  <si>
    <t>DMT 10 -----&gt;</t>
  </si>
  <si>
    <t>J6 - TRECHO 11</t>
  </si>
  <si>
    <t>DMT 11  -----&gt;</t>
  </si>
  <si>
    <t>J7 - TRECHO 12</t>
  </si>
  <si>
    <t>DMT 12 -----&gt;</t>
  </si>
  <si>
    <t xml:space="preserve">  4°45'52.30"S  44°28'25.35"O</t>
  </si>
  <si>
    <t xml:space="preserve">  4°43'23.56"S  44°28'53.99"O</t>
  </si>
  <si>
    <t xml:space="preserve">  4°41'34.52"S  44°25'17.38"O</t>
  </si>
  <si>
    <t xml:space="preserve">  4°48'31.93"S  44°29'35.67"O</t>
  </si>
  <si>
    <t xml:space="preserve">  4°47'20.26"S  44°33'34.89"O</t>
  </si>
  <si>
    <t xml:space="preserve">  4°53'59.49"S  44°31'50.69"O</t>
  </si>
  <si>
    <t xml:space="preserve">  4°52'0.38"S  44°26'39.32"O</t>
  </si>
  <si>
    <t xml:space="preserve">MUNICÍPIO DE SANTO ANTÔNIO DOS LOPES - MA </t>
  </si>
  <si>
    <t>TRECHO 03: POVOADO CRIOLI AO POVOADO MORADA NOVA (DIVISA DE CAPINZAL)</t>
  </si>
  <si>
    <t xml:space="preserve">TRECHO 7: POVOADO SANTA TERESA </t>
  </si>
  <si>
    <t>TRECHO 8: POVOADO SANTA TERESA PARTE 02 AO POVOADO MANGUEIRA</t>
  </si>
  <si>
    <t>Largura da plataforma</t>
  </si>
  <si>
    <t>4°45'52.30"S 44°28'25.35"O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</si>
</sst>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_(* #,##0.00_);_(* \(#,##0.00\);_(* &quot;-&quot;??_);_(@_)"/>
    <numFmt numFmtId="166" formatCode="#,##0.00;[Red]#,##0.00"/>
    <numFmt numFmtId="167" formatCode="#,##0.0"/>
    <numFmt numFmtId="168" formatCode="0.000"/>
    <numFmt numFmtId="169" formatCode="_-&quot;R$&quot;* #,##0.00_-;\-&quot;R$&quot;* #,##0.00_-;_-&quot;R$&quot;* &quot;-&quot;??_-;_-@_-"/>
  </numFmts>
  <fonts count="36" x14ac:knownFonts="1">
    <font>
      <sz val="12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8"/>
      <color theme="1"/>
      <name val="Arial"/>
      <family val="2"/>
    </font>
    <font>
      <b/>
      <sz val="14"/>
      <color theme="1"/>
      <name val="Calibri"/>
      <family val="2"/>
      <scheme val="major"/>
    </font>
    <font>
      <b/>
      <sz val="8"/>
      <color theme="1"/>
      <name val="Calibri"/>
      <family val="2"/>
      <scheme val="maj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ajor"/>
    </font>
    <font>
      <b/>
      <sz val="12"/>
      <color theme="1"/>
      <name val="Calibri"/>
      <family val="2"/>
      <scheme val="major"/>
    </font>
    <font>
      <sz val="10"/>
      <color theme="1"/>
      <name val="Calibri Light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name val="Calibri Light"/>
      <family val="2"/>
      <scheme val="minor"/>
    </font>
    <font>
      <b/>
      <sz val="11"/>
      <color theme="1"/>
      <name val="Calibri"/>
      <family val="2"/>
      <scheme val="major"/>
    </font>
    <font>
      <sz val="7"/>
      <name val="Arial"/>
      <family val="2"/>
    </font>
    <font>
      <i/>
      <sz val="9"/>
      <name val="Arial"/>
      <family val="2"/>
    </font>
    <font>
      <b/>
      <sz val="9"/>
      <color theme="1"/>
      <name val="Calibri Light"/>
      <family val="2"/>
      <scheme val="minor"/>
    </font>
    <font>
      <b/>
      <i/>
      <sz val="9"/>
      <name val="Arial"/>
      <family val="2"/>
    </font>
    <font>
      <b/>
      <sz val="12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1"/>
      <color indexed="8"/>
      <name val="Calibri"/>
      <family val="2"/>
    </font>
    <font>
      <b/>
      <sz val="10"/>
      <color rgb="FFC00000"/>
      <name val="Arial"/>
      <family val="2"/>
    </font>
    <font>
      <sz val="11"/>
      <color theme="1"/>
      <name val="Arial"/>
      <family val="2"/>
    </font>
    <font>
      <sz val="12"/>
      <name val="Calibri Light"/>
      <family val="2"/>
      <scheme val="minor"/>
    </font>
    <font>
      <i/>
      <sz val="10"/>
      <name val="Arial"/>
      <family val="2"/>
    </font>
    <font>
      <sz val="9"/>
      <color theme="1"/>
      <name val="Arial"/>
      <family val="2"/>
    </font>
    <font>
      <b/>
      <sz val="10"/>
      <name val="Calibri Light"/>
      <family val="2"/>
      <scheme val="minor"/>
    </font>
    <font>
      <b/>
      <sz val="28"/>
      <name val="Arial Black"/>
      <family val="2"/>
    </font>
    <font>
      <b/>
      <sz val="12"/>
      <name val="Calibri Light"/>
      <family val="2"/>
      <scheme val="minor"/>
    </font>
    <font>
      <b/>
      <sz val="9"/>
      <name val="Calibri Light"/>
      <family val="2"/>
      <scheme val="minor"/>
    </font>
    <font>
      <b/>
      <sz val="18"/>
      <name val="Arial Black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BB33"/>
        <bgColor indexed="64"/>
      </patternFill>
    </fill>
    <fill>
      <patternFill patternType="solid">
        <fgColor rgb="FFFFDF9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</borders>
  <cellStyleXfs count="13">
    <xf numFmtId="0" fontId="0" fillId="0" borderId="0">
      <alignment vertical="center"/>
    </xf>
    <xf numFmtId="43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" fillId="0" borderId="0"/>
    <xf numFmtId="0" fontId="7" fillId="0" borderId="0"/>
    <xf numFmtId="0" fontId="24" fillId="0" borderId="0"/>
    <xf numFmtId="0" fontId="1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8">
    <xf numFmtId="0" fontId="0" fillId="0" borderId="0" xfId="0">
      <alignment vertical="center"/>
    </xf>
    <xf numFmtId="0" fontId="4" fillId="0" borderId="0" xfId="0" applyFont="1" applyAlignment="1"/>
    <xf numFmtId="0" fontId="6" fillId="0" borderId="0" xfId="0" applyFo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9" xfId="0" applyBorder="1">
      <alignment vertical="center"/>
    </xf>
    <xf numFmtId="0" fontId="7" fillId="4" borderId="3" xfId="0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4" fontId="7" fillId="4" borderId="3" xfId="1" applyNumberFormat="1" applyFont="1" applyFill="1" applyBorder="1" applyAlignment="1">
      <alignment horizontal="right" vertical="center"/>
    </xf>
    <xf numFmtId="4" fontId="8" fillId="4" borderId="3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4" fillId="0" borderId="1" xfId="0" applyFont="1" applyBorder="1" applyAlignment="1"/>
    <xf numFmtId="0" fontId="14" fillId="0" borderId="0" xfId="0" applyFont="1" applyAlignment="1"/>
    <xf numFmtId="0" fontId="11" fillId="0" borderId="0" xfId="0" applyFont="1">
      <alignment vertical="center"/>
    </xf>
    <xf numFmtId="0" fontId="13" fillId="3" borderId="3" xfId="0" applyFont="1" applyFill="1" applyBorder="1" applyAlignment="1">
      <alignment horizontal="left" vertical="center"/>
    </xf>
    <xf numFmtId="2" fontId="13" fillId="3" borderId="3" xfId="0" applyNumberFormat="1" applyFont="1" applyFill="1" applyBorder="1" applyAlignment="1">
      <alignment horizontal="center" vertical="center"/>
    </xf>
    <xf numFmtId="4" fontId="6" fillId="0" borderId="0" xfId="0" applyNumberFormat="1" applyFont="1">
      <alignment vertical="center"/>
    </xf>
    <xf numFmtId="2" fontId="15" fillId="2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right" vertical="center"/>
    </xf>
    <xf numFmtId="44" fontId="0" fillId="0" borderId="0" xfId="4" applyFont="1" applyAlignment="1">
      <alignment vertical="center"/>
    </xf>
    <xf numFmtId="0" fontId="7" fillId="4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/>
    </xf>
    <xf numFmtId="44" fontId="17" fillId="0" borderId="0" xfId="4" applyFont="1" applyAlignment="1">
      <alignment vertical="center"/>
    </xf>
    <xf numFmtId="0" fontId="18" fillId="2" borderId="0" xfId="0" applyFont="1" applyFill="1" applyAlignment="1">
      <alignment horizontal="right" vertical="center"/>
    </xf>
    <xf numFmtId="39" fontId="18" fillId="2" borderId="0" xfId="2" applyNumberFormat="1" applyFont="1" applyFill="1" applyAlignment="1">
      <alignment horizontal="right" vertical="center"/>
    </xf>
    <xf numFmtId="2" fontId="18" fillId="2" borderId="0" xfId="0" applyNumberFormat="1" applyFont="1" applyFill="1">
      <alignment vertical="center"/>
    </xf>
    <xf numFmtId="0" fontId="19" fillId="0" borderId="0" xfId="7" applyFont="1" applyAlignment="1">
      <alignment horizontal="right" vertical="center"/>
    </xf>
    <xf numFmtId="9" fontId="19" fillId="0" borderId="0" xfId="7" applyNumberFormat="1" applyFont="1" applyAlignment="1">
      <alignment horizontal="left" vertical="center" wrapText="1"/>
    </xf>
    <xf numFmtId="0" fontId="19" fillId="0" borderId="0" xfId="7" applyFont="1" applyAlignment="1">
      <alignment horizontal="right" vertical="center" wrapText="1"/>
    </xf>
    <xf numFmtId="0" fontId="19" fillId="0" borderId="0" xfId="7" applyFont="1" applyAlignment="1">
      <alignment horizontal="left" vertical="center" wrapText="1"/>
    </xf>
    <xf numFmtId="167" fontId="19" fillId="0" borderId="0" xfId="7" applyNumberFormat="1" applyFont="1" applyAlignment="1">
      <alignment horizontal="left" vertical="center" wrapText="1"/>
    </xf>
    <xf numFmtId="4" fontId="19" fillId="0" borderId="0" xfId="7" applyNumberFormat="1" applyFont="1" applyAlignment="1">
      <alignment horizontal="left" vertical="center" wrapText="1"/>
    </xf>
    <xf numFmtId="2" fontId="19" fillId="0" borderId="0" xfId="7" applyNumberFormat="1" applyFont="1" applyAlignment="1">
      <alignment horizontal="right" vertical="center" wrapText="1"/>
    </xf>
    <xf numFmtId="0" fontId="19" fillId="0" borderId="0" xfId="7" applyFont="1" applyAlignment="1">
      <alignment horizontal="center" vertical="center" wrapText="1"/>
    </xf>
    <xf numFmtId="2" fontId="19" fillId="0" borderId="0" xfId="7" applyNumberFormat="1" applyFont="1" applyAlignment="1">
      <alignment horizontal="left" vertical="center" wrapText="1"/>
    </xf>
    <xf numFmtId="0" fontId="20" fillId="4" borderId="11" xfId="0" applyFont="1" applyFill="1" applyBorder="1" applyAlignment="1">
      <alignment horizontal="center" vertical="center"/>
    </xf>
    <xf numFmtId="0" fontId="21" fillId="4" borderId="11" xfId="7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8" fontId="19" fillId="0" borderId="0" xfId="7" applyNumberFormat="1" applyFont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2" fillId="0" borderId="0" xfId="0" applyFont="1" applyAlignment="1"/>
    <xf numFmtId="44" fontId="0" fillId="0" borderId="0" xfId="0" applyNumberFormat="1" applyAlignment="1"/>
    <xf numFmtId="8" fontId="0" fillId="0" borderId="0" xfId="0" applyNumberFormat="1">
      <alignment vertical="center"/>
    </xf>
    <xf numFmtId="4" fontId="25" fillId="4" borderId="3" xfId="1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4" applyNumberFormat="1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27" fillId="0" borderId="0" xfId="0" applyFont="1" applyAlignment="1"/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" fillId="0" borderId="0" xfId="9"/>
    <xf numFmtId="169" fontId="0" fillId="0" borderId="0" xfId="10" applyFont="1"/>
    <xf numFmtId="0" fontId="1" fillId="0" borderId="0" xfId="9" applyAlignment="1">
      <alignment horizontal="center" vertical="center"/>
    </xf>
    <xf numFmtId="4" fontId="8" fillId="4" borderId="10" xfId="1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166" fontId="15" fillId="2" borderId="0" xfId="0" applyNumberFormat="1" applyFont="1" applyFill="1" applyBorder="1" applyAlignment="1">
      <alignment horizontal="center" vertical="center"/>
    </xf>
    <xf numFmtId="167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8" fontId="19" fillId="0" borderId="11" xfId="7" applyNumberFormat="1" applyFont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/>
    </xf>
    <xf numFmtId="0" fontId="32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35" fillId="0" borderId="0" xfId="0" applyFont="1">
      <alignment vertical="center"/>
    </xf>
    <xf numFmtId="4" fontId="13" fillId="3" borderId="4" xfId="0" applyNumberFormat="1" applyFont="1" applyFill="1" applyBorder="1" applyAlignment="1">
      <alignment horizontal="center" vertical="center"/>
    </xf>
    <xf numFmtId="4" fontId="13" fillId="3" borderId="6" xfId="0" applyNumberFormat="1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right" vertical="center" wrapText="1"/>
    </xf>
    <xf numFmtId="0" fontId="30" fillId="4" borderId="5" xfId="0" applyFont="1" applyFill="1" applyBorder="1" applyAlignment="1">
      <alignment horizontal="right" vertical="center" wrapText="1"/>
    </xf>
    <xf numFmtId="0" fontId="30" fillId="4" borderId="6" xfId="0" applyFont="1" applyFill="1" applyBorder="1" applyAlignment="1">
      <alignment horizontal="right" vertical="center" wrapText="1"/>
    </xf>
    <xf numFmtId="4" fontId="13" fillId="3" borderId="5" xfId="0" applyNumberFormat="1" applyFont="1" applyFill="1" applyBorder="1" applyAlignment="1">
      <alignment horizontal="center" vertical="center"/>
    </xf>
    <xf numFmtId="0" fontId="33" fillId="5" borderId="10" xfId="0" applyFont="1" applyFill="1" applyBorder="1" applyAlignment="1">
      <alignment horizontal="center" vertical="center"/>
    </xf>
    <xf numFmtId="0" fontId="33" fillId="5" borderId="8" xfId="0" applyFont="1" applyFill="1" applyBorder="1" applyAlignment="1">
      <alignment horizontal="center" vertical="center"/>
    </xf>
    <xf numFmtId="0" fontId="32" fillId="5" borderId="10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left" vertical="center"/>
    </xf>
    <xf numFmtId="0" fontId="15" fillId="5" borderId="5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 vertical="center"/>
    </xf>
    <xf numFmtId="0" fontId="33" fillId="5" borderId="4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31" fillId="5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12" fillId="0" borderId="2" xfId="0" applyFont="1" applyBorder="1" applyAlignment="1">
      <alignment horizontal="left" vertical="center" wrapText="1"/>
    </xf>
    <xf numFmtId="164" fontId="12" fillId="0" borderId="2" xfId="0" applyNumberFormat="1" applyFont="1" applyBorder="1" applyAlignment="1">
      <alignment horizontal="left" vertical="center"/>
    </xf>
    <xf numFmtId="0" fontId="29" fillId="0" borderId="2" xfId="0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32" fillId="5" borderId="4" xfId="0" applyFont="1" applyFill="1" applyBorder="1" applyAlignment="1">
      <alignment horizontal="center" vertical="center"/>
    </xf>
    <xf numFmtId="0" fontId="32" fillId="5" borderId="6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6" borderId="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8" fontId="28" fillId="0" borderId="12" xfId="7" applyNumberFormat="1" applyFont="1" applyBorder="1" applyAlignment="1">
      <alignment horizontal="center" vertical="center" wrapText="1"/>
    </xf>
    <xf numFmtId="168" fontId="28" fillId="0" borderId="13" xfId="7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4" fillId="5" borderId="4" xfId="0" applyFont="1" applyFill="1" applyBorder="1" applyAlignment="1">
      <alignment horizontal="center" vertical="center"/>
    </xf>
    <xf numFmtId="0" fontId="34" fillId="5" borderId="5" xfId="0" applyFont="1" applyFill="1" applyBorder="1" applyAlignment="1">
      <alignment horizontal="center" vertical="center"/>
    </xf>
    <xf numFmtId="0" fontId="34" fillId="5" borderId="6" xfId="0" applyFont="1" applyFill="1" applyBorder="1" applyAlignment="1">
      <alignment horizontal="center" vertical="center"/>
    </xf>
    <xf numFmtId="4" fontId="8" fillId="4" borderId="10" xfId="1" applyNumberFormat="1" applyFont="1" applyFill="1" applyBorder="1" applyAlignment="1">
      <alignment horizontal="right" vertical="center"/>
    </xf>
    <xf numFmtId="4" fontId="8" fillId="4" borderId="14" xfId="1" applyNumberFormat="1" applyFont="1" applyFill="1" applyBorder="1" applyAlignment="1">
      <alignment horizontal="right" vertical="center"/>
    </xf>
    <xf numFmtId="4" fontId="8" fillId="4" borderId="8" xfId="1" applyNumberFormat="1" applyFont="1" applyFill="1" applyBorder="1" applyAlignment="1">
      <alignment horizontal="right" vertical="center"/>
    </xf>
  </cellXfs>
  <cellStyles count="13">
    <cellStyle name="Moeda" xfId="4" builtinId="4"/>
    <cellStyle name="Moeda 2" xfId="10" xr:uid="{02C16DAB-DCA3-438D-AEDA-CF3D0F6F548D}"/>
    <cellStyle name="Normal" xfId="0" builtinId="0" customBuiltin="1"/>
    <cellStyle name="Normal 2" xfId="3" xr:uid="{00000000-0005-0000-0000-000002000000}"/>
    <cellStyle name="Normal 3" xfId="7" xr:uid="{8E4156CD-F738-4726-A8A3-CA98A23855B6}"/>
    <cellStyle name="Normal 33" xfId="6" xr:uid="{EC6EEDCE-A3EA-461D-B8AA-8B49DFE33714}"/>
    <cellStyle name="Normal 4" xfId="9" xr:uid="{3AC974C3-190D-4F03-8B93-9B648F681EEC}"/>
    <cellStyle name="Normal 4 3" xfId="8" xr:uid="{9AACF562-0E60-4869-8207-B184F92DAB80}"/>
    <cellStyle name="Porcentagem 2" xfId="11" xr:uid="{A7506A11-4A8B-4255-806F-646BD50B801E}"/>
    <cellStyle name="Vírgula" xfId="1" builtinId="3"/>
    <cellStyle name="Vírgula 2" xfId="2" xr:uid="{00000000-0005-0000-0000-000004000000}"/>
    <cellStyle name="Vírgula 2 2" xfId="5" xr:uid="{D47AF401-369E-415B-A3B4-C8402023B3CF}"/>
    <cellStyle name="Vírgula 3" xfId="12" xr:uid="{A2BD907F-AF74-4A44-8FD2-753FDBDD8C53}"/>
  </cellStyles>
  <dxfs count="3">
    <dxf>
      <font>
        <b val="0"/>
        <i val="0"/>
        <color theme="1" tint="0.14993743705557422"/>
      </font>
      <fill>
        <patternFill>
          <bgColor theme="0" tint="-0.14996795556505021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0"/>
      </font>
      <fill>
        <patternFill patternType="solid">
          <fgColor theme="6"/>
          <bgColor theme="1" tint="0.34998626667073579"/>
        </patternFill>
      </fill>
      <border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2"/>
      <tableStyleElement type="headerRow" dxfId="1"/>
      <tableStyleElement type="totalRow" dxfId="0"/>
    </tableStyle>
  </tableStyles>
  <colors>
    <mruColors>
      <color rgb="FFFFBB33"/>
      <color rgb="FFFFDF9F"/>
      <color rgb="FF121582"/>
      <color rgb="FFA3A5FB"/>
      <color rgb="FF06098E"/>
      <color rgb="FF8DE5E3"/>
      <color rgb="FF7FE268"/>
      <color rgb="FFB8EFAB"/>
      <color rgb="FFA4F2BE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208359</xdr:colOff>
      <xdr:row>0</xdr:row>
      <xdr:rowOff>95250</xdr:rowOff>
    </xdr:from>
    <xdr:to>
      <xdr:col>14</xdr:col>
      <xdr:colOff>255985</xdr:colOff>
      <xdr:row>4</xdr:row>
      <xdr:rowOff>123825</xdr:rowOff>
    </xdr:to>
    <xdr:sp macro="" textlink="">
      <xdr:nvSpPr>
        <xdr:cNvPr id="2" name="Fluxograma: Processo alternativ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762309" y="95250"/>
          <a:ext cx="2076451" cy="1152525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528204</xdr:colOff>
      <xdr:row>93</xdr:row>
      <xdr:rowOff>155863</xdr:rowOff>
    </xdr:from>
    <xdr:to>
      <xdr:col>5</xdr:col>
      <xdr:colOff>207818</xdr:colOff>
      <xdr:row>94</xdr:row>
      <xdr:rowOff>0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62254" y="32979013"/>
          <a:ext cx="632114" cy="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400">
            <a:ln>
              <a:noFill/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528204</xdr:colOff>
      <xdr:row>94</xdr:row>
      <xdr:rowOff>0</xdr:rowOff>
    </xdr:from>
    <xdr:to>
      <xdr:col>5</xdr:col>
      <xdr:colOff>207818</xdr:colOff>
      <xdr:row>95</xdr:row>
      <xdr:rowOff>0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262254" y="32975550"/>
          <a:ext cx="632114" cy="1428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400">
            <a:ln>
              <a:noFill/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116031</xdr:colOff>
      <xdr:row>94</xdr:row>
      <xdr:rowOff>0</xdr:rowOff>
    </xdr:from>
    <xdr:to>
      <xdr:col>7</xdr:col>
      <xdr:colOff>304799</xdr:colOff>
      <xdr:row>95</xdr:row>
      <xdr:rowOff>36369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488506" y="32975550"/>
          <a:ext cx="188768" cy="1792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400">
            <a:ln>
              <a:noFill/>
            </a:ln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12</xdr:col>
      <xdr:colOff>454989</xdr:colOff>
      <xdr:row>0</xdr:row>
      <xdr:rowOff>180466</xdr:rowOff>
    </xdr:from>
    <xdr:to>
      <xdr:col>14</xdr:col>
      <xdr:colOff>5954</xdr:colOff>
      <xdr:row>4</xdr:row>
      <xdr:rowOff>77272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5C76BCC-E458-460F-B9A7-DB84CAFE9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08939" y="180466"/>
          <a:ext cx="1579790" cy="102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677331</xdr:colOff>
      <xdr:row>0</xdr:row>
      <xdr:rowOff>222251</xdr:rowOff>
    </xdr:from>
    <xdr:to>
      <xdr:col>15</xdr:col>
      <xdr:colOff>156881</xdr:colOff>
      <xdr:row>4</xdr:row>
      <xdr:rowOff>67236</xdr:rowOff>
    </xdr:to>
    <xdr:sp macro="" textlink="">
      <xdr:nvSpPr>
        <xdr:cNvPr id="3" name="Fluxograma: Processo alternativo 4">
          <a:extLst>
            <a:ext uri="{FF2B5EF4-FFF2-40B4-BE49-F238E27FC236}">
              <a16:creationId xmlns:a16="http://schemas.microsoft.com/office/drawing/2014/main" id="{9CC649BE-DBCE-44DC-B342-E6D2F130C795}"/>
            </a:ext>
          </a:extLst>
        </xdr:cNvPr>
        <xdr:cNvSpPr/>
      </xdr:nvSpPr>
      <xdr:spPr>
        <a:xfrm>
          <a:off x="10460066" y="222251"/>
          <a:ext cx="1731933" cy="1044014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13</xdr:col>
      <xdr:colOff>818032</xdr:colOff>
      <xdr:row>0</xdr:row>
      <xdr:rowOff>257737</xdr:rowOff>
    </xdr:from>
    <xdr:to>
      <xdr:col>15</xdr:col>
      <xdr:colOff>56031</xdr:colOff>
      <xdr:row>4</xdr:row>
      <xdr:rowOff>27664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A5FD3C4-C010-49B1-AEB5-C1A29FBDE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0767" y="257737"/>
          <a:ext cx="1490382" cy="968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%20-%20PREFEITURAS\2022\FERNANDO%20FALC&#195;O\CONV.%20CAIXA%20R$%202.865.000,00\02-OR&#199;AMENTO\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%20-%20PREFEITURAS\2022\LORETO\PROJETO%20DE%20BUEIRO\OR&#199;AMENTO\OR&#199;AMENTO%20-%20BUEIRO%20LORE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%20-%20PREFEITURAS\2022\GON&#199;ALVES%20DIAS\VICINAL%20CODEVASF\REVIS&#195;O%2001\OR&#199;AMENTO\OR&#199;AMENTO%20GON&#199;ALVES%20D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 "/>
      <sheetName val="SINTETICO"/>
      <sheetName val="RESUMO"/>
      <sheetName val="CRONOGRAMA"/>
      <sheetName val="BDI"/>
      <sheetName val="B D I"/>
      <sheetName val="ORÇAMENTO"/>
      <sheetName val="MEMÓRIA DE CALCULO"/>
      <sheetName val="COMPOSIÇÃO"/>
      <sheetName val="CURVA ABC"/>
      <sheetName val=" ENCARGOS SOC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B D I"/>
      <sheetName val="RESUMO"/>
      <sheetName val="SINTÉTICO"/>
      <sheetName val="CRONOGRAMA"/>
      <sheetName val="ANALÍTICO GERAL"/>
      <sheetName val="CURVA ABC"/>
      <sheetName val="COMP"/>
      <sheetName val="ENCARGOS"/>
      <sheetName val="ANALÍTICO POV. CONCEIÇÃO"/>
      <sheetName val="MEMORIA POV. CONCEIÇÃO"/>
      <sheetName val="D.M.T POV. CONCEIÇÃO"/>
      <sheetName val="CUBAGEM POV. CONCEIÇÃO"/>
      <sheetName val="ANALÍTICO JAPÃOZINHO"/>
      <sheetName val="MEMORIA POV. JAPÃOZINHO"/>
      <sheetName val="D.M.T JAPÃOZINHO"/>
      <sheetName val="CUBAGEM JAPÃOZINHO"/>
      <sheetName val="D.M.T POV. CONCEIÇÃO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F8"/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B1:W311"/>
  <sheetViews>
    <sheetView showGridLines="0" tabSelected="1" topLeftCell="A2" zoomScale="70" zoomScaleNormal="70" zoomScaleSheetLayoutView="70" workbookViewId="0">
      <selection activeCell="L16" sqref="L16"/>
    </sheetView>
  </sheetViews>
  <sheetFormatPr defaultColWidth="11.5" defaultRowHeight="0" customHeight="1" zeroHeight="1" x14ac:dyDescent="0.25"/>
  <cols>
    <col min="1" max="1" width="4.625" customWidth="1"/>
    <col min="2" max="2" width="6.375" customWidth="1"/>
    <col min="3" max="3" width="59.625" customWidth="1"/>
    <col min="4" max="4" width="7.625" customWidth="1"/>
    <col min="5" max="5" width="13.625" bestFit="1" customWidth="1"/>
    <col min="6" max="6" width="10.75" customWidth="1"/>
    <col min="7" max="7" width="11.375" customWidth="1"/>
    <col min="8" max="8" width="8.875" bestFit="1" customWidth="1"/>
    <col min="9" max="9" width="11.25" bestFit="1" customWidth="1"/>
    <col min="10" max="10" width="7.25" customWidth="1"/>
    <col min="11" max="11" width="16.125" customWidth="1"/>
    <col min="12" max="12" width="7.25" customWidth="1"/>
    <col min="13" max="13" width="13.375" bestFit="1" customWidth="1"/>
    <col min="14" max="14" width="13.25" customWidth="1"/>
    <col min="15" max="15" width="14.5" customWidth="1"/>
    <col min="16" max="17" width="14.5" hidden="1" customWidth="1"/>
    <col min="18" max="18" width="11.5" hidden="1" customWidth="1"/>
    <col min="19" max="19" width="14.875" hidden="1" customWidth="1"/>
    <col min="20" max="21" width="11.5" hidden="1" customWidth="1"/>
    <col min="22" max="22" width="11.5" customWidth="1"/>
    <col min="24" max="24" width="11.5" customWidth="1"/>
  </cols>
  <sheetData>
    <row r="1" spans="2:15" ht="24.75" customHeight="1" x14ac:dyDescent="0.25"/>
    <row r="2" spans="2:15" ht="28.5" customHeight="1" x14ac:dyDescent="0.25">
      <c r="B2" s="110" t="s">
        <v>29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2:15" ht="27.75" customHeigh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2:15" ht="7.5" customHeight="1" x14ac:dyDescent="0.25">
      <c r="I4" s="111"/>
      <c r="J4" s="111"/>
    </row>
    <row r="5" spans="2:15" ht="18.75" x14ac:dyDescent="0.3">
      <c r="B5" s="112" t="s">
        <v>3</v>
      </c>
      <c r="C5" s="112"/>
      <c r="D5" s="112"/>
      <c r="E5" s="112"/>
      <c r="F5" s="112"/>
      <c r="G5" s="112"/>
      <c r="H5" s="112"/>
      <c r="I5" s="112"/>
      <c r="J5" s="112"/>
      <c r="K5" s="5"/>
      <c r="L5" s="5"/>
      <c r="M5" s="5"/>
      <c r="N5" s="5"/>
      <c r="O5" s="5"/>
    </row>
    <row r="6" spans="2:15" ht="8.25" customHeight="1" x14ac:dyDescent="0.25"/>
    <row r="7" spans="2:15" ht="21" customHeight="1" x14ac:dyDescent="0.2">
      <c r="B7" s="1"/>
      <c r="C7" s="11" t="s">
        <v>5</v>
      </c>
      <c r="D7" s="12"/>
      <c r="E7" s="11" t="s">
        <v>6</v>
      </c>
      <c r="F7" s="11"/>
      <c r="G7" s="11"/>
      <c r="H7" s="13"/>
      <c r="I7" s="11" t="s">
        <v>7</v>
      </c>
      <c r="J7" s="11"/>
      <c r="K7" s="13"/>
      <c r="L7" s="11" t="s">
        <v>8</v>
      </c>
      <c r="M7" s="11"/>
      <c r="N7" s="11"/>
    </row>
    <row r="8" spans="2:15" s="21" customFormat="1" ht="51" customHeight="1" x14ac:dyDescent="0.25">
      <c r="B8" s="22"/>
      <c r="C8" s="23" t="s">
        <v>133</v>
      </c>
      <c r="D8" s="24"/>
      <c r="E8" s="113" t="s">
        <v>163</v>
      </c>
      <c r="F8" s="113"/>
      <c r="G8" s="113"/>
      <c r="H8" s="24"/>
      <c r="I8" s="115" t="s">
        <v>73</v>
      </c>
      <c r="J8" s="115"/>
      <c r="K8" s="25"/>
      <c r="L8" s="114">
        <f ca="1">TODAY()</f>
        <v>45356</v>
      </c>
      <c r="M8" s="114"/>
      <c r="N8" s="114"/>
    </row>
    <row r="9" spans="2:15" ht="24" customHeight="1" x14ac:dyDescent="0.25">
      <c r="B9" s="122" t="s">
        <v>4</v>
      </c>
      <c r="C9" s="122"/>
      <c r="D9" s="122"/>
      <c r="E9" s="122"/>
      <c r="F9" s="122"/>
      <c r="G9" s="122"/>
      <c r="H9" s="122"/>
      <c r="I9" s="122"/>
      <c r="J9" s="122"/>
      <c r="K9" s="5"/>
    </row>
    <row r="10" spans="2:15" ht="6.75" customHeight="1" thickBot="1" x14ac:dyDescent="0.3">
      <c r="B10" s="10"/>
      <c r="C10" s="3"/>
      <c r="D10" s="3"/>
      <c r="E10" s="3"/>
      <c r="F10" s="3"/>
      <c r="G10" s="3"/>
      <c r="H10" s="3"/>
      <c r="I10" s="3"/>
      <c r="J10" s="3"/>
    </row>
    <row r="11" spans="2:15" ht="30.75" customHeight="1" thickTop="1" thickBot="1" x14ac:dyDescent="0.3">
      <c r="B11" s="10"/>
      <c r="C11" s="86" t="s">
        <v>89</v>
      </c>
      <c r="D11" s="123" t="s">
        <v>13</v>
      </c>
      <c r="E11" s="124"/>
      <c r="F11" s="87" t="s">
        <v>14</v>
      </c>
      <c r="G11" s="123" t="s">
        <v>15</v>
      </c>
      <c r="H11" s="125"/>
      <c r="I11" s="4"/>
      <c r="J11" s="4"/>
    </row>
    <row r="12" spans="2:15" ht="30.75" customHeight="1" thickTop="1" thickBot="1" x14ac:dyDescent="0.3">
      <c r="B12" s="10"/>
      <c r="C12" s="80" t="s">
        <v>92</v>
      </c>
      <c r="D12" s="90">
        <v>5268</v>
      </c>
      <c r="E12" s="91"/>
      <c r="F12" s="15">
        <v>6</v>
      </c>
      <c r="G12" s="90">
        <f t="shared" ref="G12" si="0">ROUND(D12*F12,2)</f>
        <v>31608</v>
      </c>
      <c r="H12" s="91"/>
      <c r="N12" s="19"/>
    </row>
    <row r="13" spans="2:15" ht="30.75" customHeight="1" thickTop="1" thickBot="1" x14ac:dyDescent="0.3">
      <c r="B13" s="10"/>
      <c r="C13" s="80" t="s">
        <v>93</v>
      </c>
      <c r="D13" s="90">
        <v>8920</v>
      </c>
      <c r="E13" s="91"/>
      <c r="F13" s="15">
        <v>6</v>
      </c>
      <c r="G13" s="90">
        <f t="shared" ref="G13:G14" si="1">ROUND(D13*F13,2)</f>
        <v>53520</v>
      </c>
      <c r="H13" s="91"/>
      <c r="I13" s="65"/>
      <c r="J13" s="64"/>
      <c r="N13" s="19"/>
    </row>
    <row r="14" spans="2:15" ht="30.75" customHeight="1" thickTop="1" thickBot="1" x14ac:dyDescent="0.3">
      <c r="B14" s="10"/>
      <c r="C14" s="80" t="s">
        <v>164</v>
      </c>
      <c r="D14" s="90">
        <v>12280</v>
      </c>
      <c r="E14" s="91"/>
      <c r="F14" s="15">
        <v>6</v>
      </c>
      <c r="G14" s="90">
        <f t="shared" si="1"/>
        <v>73680</v>
      </c>
      <c r="H14" s="91"/>
      <c r="I14" s="65"/>
      <c r="J14" s="64"/>
      <c r="N14" s="19"/>
    </row>
    <row r="15" spans="2:15" ht="30.75" customHeight="1" thickTop="1" thickBot="1" x14ac:dyDescent="0.3">
      <c r="B15" s="10"/>
      <c r="C15" s="14" t="s">
        <v>94</v>
      </c>
      <c r="D15" s="90">
        <v>5072.5</v>
      </c>
      <c r="E15" s="91"/>
      <c r="F15" s="15">
        <v>6</v>
      </c>
      <c r="G15" s="90">
        <f t="shared" ref="G15:G23" si="2">ROUND(D15*F15,2)</f>
        <v>30435</v>
      </c>
      <c r="H15" s="91"/>
      <c r="I15" s="65"/>
      <c r="J15" s="64"/>
      <c r="N15" s="19"/>
    </row>
    <row r="16" spans="2:15" ht="30.75" customHeight="1" thickTop="1" thickBot="1" x14ac:dyDescent="0.3">
      <c r="B16" s="10"/>
      <c r="C16" s="14" t="s">
        <v>95</v>
      </c>
      <c r="D16" s="90">
        <v>5924</v>
      </c>
      <c r="E16" s="91"/>
      <c r="F16" s="15">
        <v>6</v>
      </c>
      <c r="G16" s="90">
        <f t="shared" si="2"/>
        <v>35544</v>
      </c>
      <c r="H16" s="91"/>
      <c r="I16" s="65"/>
      <c r="J16" s="64"/>
      <c r="N16" s="19"/>
    </row>
    <row r="17" spans="2:21" ht="30.75" customHeight="1" thickTop="1" thickBot="1" x14ac:dyDescent="0.3">
      <c r="B17" s="10"/>
      <c r="C17" s="14" t="s">
        <v>96</v>
      </c>
      <c r="D17" s="90">
        <v>10016</v>
      </c>
      <c r="E17" s="91"/>
      <c r="F17" s="15">
        <v>6</v>
      </c>
      <c r="G17" s="90">
        <f t="shared" si="2"/>
        <v>60096</v>
      </c>
      <c r="H17" s="91"/>
      <c r="I17" s="65"/>
      <c r="J17" s="64"/>
      <c r="N17" s="19"/>
    </row>
    <row r="18" spans="2:21" ht="30.75" customHeight="1" thickTop="1" thickBot="1" x14ac:dyDescent="0.3">
      <c r="B18" s="10"/>
      <c r="C18" s="80" t="s">
        <v>165</v>
      </c>
      <c r="D18" s="90">
        <v>610</v>
      </c>
      <c r="E18" s="91"/>
      <c r="F18" s="15">
        <v>6</v>
      </c>
      <c r="G18" s="90">
        <f t="shared" si="2"/>
        <v>3660</v>
      </c>
      <c r="H18" s="91"/>
      <c r="I18" s="65"/>
      <c r="J18" s="64"/>
      <c r="N18" s="19"/>
    </row>
    <row r="19" spans="2:21" ht="30.75" customHeight="1" thickTop="1" thickBot="1" x14ac:dyDescent="0.3">
      <c r="B19" s="10"/>
      <c r="C19" s="80" t="s">
        <v>166</v>
      </c>
      <c r="D19" s="90">
        <v>3569</v>
      </c>
      <c r="E19" s="91"/>
      <c r="F19" s="15">
        <v>6</v>
      </c>
      <c r="G19" s="90">
        <f t="shared" si="2"/>
        <v>21414</v>
      </c>
      <c r="H19" s="91"/>
      <c r="I19" s="65"/>
      <c r="J19" s="64"/>
      <c r="M19" s="19"/>
      <c r="N19" s="19"/>
    </row>
    <row r="20" spans="2:21" ht="30.75" customHeight="1" thickTop="1" thickBot="1" x14ac:dyDescent="0.3">
      <c r="B20" s="10"/>
      <c r="C20" s="80" t="s">
        <v>97</v>
      </c>
      <c r="D20" s="90">
        <v>4299</v>
      </c>
      <c r="E20" s="91"/>
      <c r="F20" s="15">
        <v>6</v>
      </c>
      <c r="G20" s="90">
        <f t="shared" si="2"/>
        <v>25794</v>
      </c>
      <c r="H20" s="91"/>
      <c r="I20" s="65"/>
      <c r="J20" s="64"/>
      <c r="N20" s="19"/>
    </row>
    <row r="21" spans="2:21" ht="30.75" customHeight="1" thickTop="1" thickBot="1" x14ac:dyDescent="0.3">
      <c r="B21" s="10"/>
      <c r="C21" s="14" t="s">
        <v>98</v>
      </c>
      <c r="D21" s="90">
        <v>7647</v>
      </c>
      <c r="E21" s="91"/>
      <c r="F21" s="15">
        <v>6</v>
      </c>
      <c r="G21" s="90">
        <f t="shared" si="2"/>
        <v>45882</v>
      </c>
      <c r="H21" s="91"/>
      <c r="I21" s="65"/>
      <c r="J21" s="64"/>
      <c r="N21" s="19"/>
    </row>
    <row r="22" spans="2:21" ht="30.75" customHeight="1" thickTop="1" thickBot="1" x14ac:dyDescent="0.3">
      <c r="B22" s="10"/>
      <c r="C22" s="80" t="s">
        <v>99</v>
      </c>
      <c r="D22" s="90">
        <v>5695</v>
      </c>
      <c r="E22" s="91"/>
      <c r="F22" s="15">
        <v>6</v>
      </c>
      <c r="G22" s="90">
        <f t="shared" si="2"/>
        <v>34170</v>
      </c>
      <c r="H22" s="91"/>
      <c r="I22" s="65"/>
      <c r="J22" s="64"/>
      <c r="M22" s="19"/>
      <c r="N22" s="19"/>
    </row>
    <row r="23" spans="2:21" ht="30.75" customHeight="1" thickTop="1" thickBot="1" x14ac:dyDescent="0.3">
      <c r="B23" s="10"/>
      <c r="C23" s="14" t="s">
        <v>100</v>
      </c>
      <c r="D23" s="90">
        <v>10258</v>
      </c>
      <c r="E23" s="91"/>
      <c r="F23" s="15">
        <v>6</v>
      </c>
      <c r="G23" s="90">
        <f t="shared" si="2"/>
        <v>61548</v>
      </c>
      <c r="H23" s="91"/>
      <c r="I23" s="65"/>
      <c r="J23" s="64"/>
      <c r="N23" s="19"/>
    </row>
    <row r="24" spans="2:21" ht="23.25" customHeight="1" thickTop="1" thickBot="1" x14ac:dyDescent="0.3">
      <c r="B24" s="2"/>
      <c r="C24" s="18" t="s">
        <v>82</v>
      </c>
      <c r="D24" s="106">
        <f>SUM(D12:E23)</f>
        <v>79558.5</v>
      </c>
      <c r="E24" s="106"/>
      <c r="F24" s="17">
        <v>6</v>
      </c>
      <c r="G24" s="106">
        <f>D24*F24</f>
        <v>477351</v>
      </c>
      <c r="H24" s="106"/>
      <c r="I24" s="65"/>
      <c r="J24" s="64"/>
      <c r="K24" s="19"/>
      <c r="M24" s="57"/>
      <c r="P24" s="90">
        <f>SUM(D12:E13)</f>
        <v>14188</v>
      </c>
      <c r="Q24" s="90">
        <f>SUM(D14)</f>
        <v>12280</v>
      </c>
      <c r="R24" s="90">
        <f>SUM(D15:E16)</f>
        <v>10996.5</v>
      </c>
      <c r="S24" s="90">
        <f>SUM(D17:E18)</f>
        <v>10626</v>
      </c>
      <c r="T24" s="90">
        <f>SUM(D19:E21)</f>
        <v>15515</v>
      </c>
      <c r="U24" s="90">
        <f>SUM(D22:E23)</f>
        <v>15953</v>
      </c>
    </row>
    <row r="25" spans="2:21" ht="9.75" customHeight="1" thickTop="1" thickBot="1" x14ac:dyDescent="0.3">
      <c r="B25" s="2"/>
      <c r="C25" s="18"/>
      <c r="D25" s="76"/>
      <c r="E25" s="76"/>
      <c r="F25" s="17"/>
      <c r="G25" s="76"/>
      <c r="H25" s="76"/>
      <c r="I25" s="72"/>
      <c r="J25" s="72"/>
      <c r="M25" s="57"/>
      <c r="P25" s="95"/>
      <c r="Q25" s="95"/>
      <c r="R25" s="95"/>
      <c r="S25" s="95"/>
      <c r="T25" s="95"/>
      <c r="U25" s="95"/>
    </row>
    <row r="26" spans="2:21" ht="25.5" customHeight="1" thickTop="1" thickBot="1" x14ac:dyDescent="0.3">
      <c r="B26" s="122" t="s">
        <v>27</v>
      </c>
      <c r="C26" s="122"/>
      <c r="D26" s="122"/>
      <c r="E26" s="122"/>
      <c r="F26" s="122"/>
      <c r="G26" s="122"/>
      <c r="H26" s="122"/>
      <c r="I26" s="122"/>
      <c r="J26" s="122"/>
      <c r="K26" s="5"/>
      <c r="P26" s="91"/>
      <c r="Q26" s="91"/>
      <c r="R26" s="91"/>
      <c r="S26" s="91"/>
      <c r="T26" s="91"/>
      <c r="U26" s="91"/>
    </row>
    <row r="27" spans="2:21" s="2" customFormat="1" ht="16.5" customHeight="1" thickTop="1" thickBot="1" x14ac:dyDescent="0.3">
      <c r="B27" s="96" t="s">
        <v>10</v>
      </c>
      <c r="C27" s="98" t="s">
        <v>0</v>
      </c>
      <c r="D27" s="96" t="s">
        <v>16</v>
      </c>
      <c r="E27" s="103" t="s">
        <v>17</v>
      </c>
      <c r="F27" s="104"/>
      <c r="G27" s="104"/>
      <c r="H27" s="104"/>
      <c r="I27" s="104"/>
      <c r="J27" s="104"/>
      <c r="K27" s="104"/>
      <c r="L27" s="104"/>
      <c r="M27" s="104"/>
      <c r="N27" s="104"/>
      <c r="O27" s="105"/>
    </row>
    <row r="28" spans="2:21" s="2" customFormat="1" ht="24" customHeight="1" thickTop="1" thickBot="1" x14ac:dyDescent="0.3">
      <c r="B28" s="97"/>
      <c r="C28" s="99"/>
      <c r="D28" s="97"/>
      <c r="E28" s="86" t="s">
        <v>18</v>
      </c>
      <c r="F28" s="86" t="s">
        <v>11</v>
      </c>
      <c r="G28" s="86" t="s">
        <v>19</v>
      </c>
      <c r="H28" s="86" t="s">
        <v>20</v>
      </c>
      <c r="I28" s="86" t="s">
        <v>9</v>
      </c>
      <c r="J28" s="86" t="s">
        <v>21</v>
      </c>
      <c r="K28" s="86" t="s">
        <v>22</v>
      </c>
      <c r="L28" s="86" t="s">
        <v>23</v>
      </c>
      <c r="M28" s="86" t="s">
        <v>24</v>
      </c>
      <c r="N28" s="86" t="s">
        <v>25</v>
      </c>
      <c r="O28" s="86" t="s">
        <v>26</v>
      </c>
    </row>
    <row r="29" spans="2:21" s="2" customFormat="1" ht="20.25" customHeight="1" thickTop="1" thickBot="1" x14ac:dyDescent="0.3">
      <c r="B29" s="107" t="s">
        <v>12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16"/>
      <c r="Q29" s="16"/>
    </row>
    <row r="30" spans="2:21" s="7" customFormat="1" ht="24.75" customHeight="1" thickTop="1" thickBot="1" x14ac:dyDescent="0.3">
      <c r="B30" s="88">
        <v>1</v>
      </c>
      <c r="C30" s="100" t="s">
        <v>28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2"/>
      <c r="P30" s="70"/>
    </row>
    <row r="31" spans="2:21" s="2" customFormat="1" ht="24" customHeight="1" thickTop="1" thickBot="1" x14ac:dyDescent="0.3">
      <c r="B31" s="6" t="s">
        <v>1</v>
      </c>
      <c r="C31" s="20" t="s">
        <v>66</v>
      </c>
      <c r="D31" s="6" t="s">
        <v>2</v>
      </c>
      <c r="E31" s="8">
        <v>1.5</v>
      </c>
      <c r="F31" s="8">
        <v>3</v>
      </c>
      <c r="G31" s="8"/>
      <c r="H31" s="8"/>
      <c r="I31" s="8"/>
      <c r="J31" s="8"/>
      <c r="K31" s="8"/>
      <c r="L31" s="8"/>
      <c r="M31" s="8">
        <v>1</v>
      </c>
      <c r="N31" s="8"/>
      <c r="O31" s="9">
        <f>E31*F31*M31</f>
        <v>4.5</v>
      </c>
    </row>
    <row r="32" spans="2:21" s="2" customFormat="1" ht="24" customHeight="1" thickTop="1" thickBot="1" x14ac:dyDescent="0.3">
      <c r="B32" s="6" t="s">
        <v>30</v>
      </c>
      <c r="C32" s="20" t="s">
        <v>67</v>
      </c>
      <c r="D32" s="6" t="s">
        <v>33</v>
      </c>
      <c r="E32" s="8"/>
      <c r="F32" s="8"/>
      <c r="G32" s="8"/>
      <c r="H32" s="8"/>
      <c r="I32" s="8"/>
      <c r="J32" s="8"/>
      <c r="K32" s="8"/>
      <c r="L32" s="8"/>
      <c r="M32" s="8">
        <v>1</v>
      </c>
      <c r="N32" s="8"/>
      <c r="O32" s="9">
        <f>M32</f>
        <v>1</v>
      </c>
    </row>
    <row r="33" spans="2:23" s="2" customFormat="1" ht="5.25" customHeight="1" thickTop="1" thickBot="1" x14ac:dyDescent="0.3"/>
    <row r="34" spans="2:23" s="7" customFormat="1" ht="24.75" customHeight="1" thickTop="1" thickBot="1" x14ac:dyDescent="0.3">
      <c r="B34" s="88">
        <v>2</v>
      </c>
      <c r="C34" s="100" t="s">
        <v>60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2"/>
      <c r="P34" s="70"/>
    </row>
    <row r="35" spans="2:23" s="2" customFormat="1" ht="24" customHeight="1" thickTop="1" thickBot="1" x14ac:dyDescent="0.3">
      <c r="B35" s="6" t="s">
        <v>70</v>
      </c>
      <c r="C35" s="20" t="s">
        <v>68</v>
      </c>
      <c r="D35" s="6" t="s">
        <v>32</v>
      </c>
      <c r="E35" s="8"/>
      <c r="F35" s="8"/>
      <c r="G35" s="8"/>
      <c r="H35" s="8"/>
      <c r="I35" s="8"/>
      <c r="J35" s="8"/>
      <c r="K35" s="8"/>
      <c r="L35" s="8"/>
      <c r="M35" s="8">
        <v>6</v>
      </c>
      <c r="N35" s="8"/>
      <c r="O35" s="9">
        <f>M35</f>
        <v>6</v>
      </c>
    </row>
    <row r="36" spans="2:23" s="2" customFormat="1" ht="5.25" customHeight="1" thickTop="1" thickBot="1" x14ac:dyDescent="0.3"/>
    <row r="37" spans="2:23" s="7" customFormat="1" ht="24.75" customHeight="1" thickTop="1" thickBot="1" x14ac:dyDescent="0.3">
      <c r="B37" s="88">
        <v>3</v>
      </c>
      <c r="C37" s="100" t="s">
        <v>36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2"/>
      <c r="P37" s="70"/>
    </row>
    <row r="38" spans="2:23" s="2" customFormat="1" ht="35.25" customHeight="1" thickTop="1" thickBot="1" x14ac:dyDescent="0.3">
      <c r="B38" s="6" t="s">
        <v>71</v>
      </c>
      <c r="C38" s="20" t="s">
        <v>62</v>
      </c>
      <c r="D38" s="6" t="s">
        <v>2</v>
      </c>
      <c r="E38" s="8">
        <v>100</v>
      </c>
      <c r="F38" s="8">
        <v>100</v>
      </c>
      <c r="G38" s="8"/>
      <c r="H38" s="8"/>
      <c r="I38" s="8"/>
      <c r="J38" s="8"/>
      <c r="K38" s="8"/>
      <c r="L38" s="8"/>
      <c r="M38" s="8">
        <v>7</v>
      </c>
      <c r="N38" s="8"/>
      <c r="O38" s="9">
        <f>E38*F38*M38</f>
        <v>70000</v>
      </c>
      <c r="P38" s="59">
        <f>E38*F38*2</f>
        <v>20000</v>
      </c>
      <c r="Q38" s="59"/>
      <c r="R38" s="59">
        <f>P38</f>
        <v>20000</v>
      </c>
      <c r="S38" s="59">
        <f>E38*F38*1</f>
        <v>10000</v>
      </c>
      <c r="T38" s="59"/>
      <c r="U38" s="59">
        <f>P38</f>
        <v>20000</v>
      </c>
    </row>
    <row r="39" spans="2:23" s="2" customFormat="1" ht="39.75" thickTop="1" thickBot="1" x14ac:dyDescent="0.3">
      <c r="B39" s="6" t="s">
        <v>77</v>
      </c>
      <c r="C39" s="20" t="s">
        <v>83</v>
      </c>
      <c r="D39" s="6" t="s">
        <v>31</v>
      </c>
      <c r="E39" s="8">
        <f>D24</f>
        <v>79558.5</v>
      </c>
      <c r="F39" s="8">
        <f>F24</f>
        <v>6</v>
      </c>
      <c r="G39" s="8">
        <v>0.2</v>
      </c>
      <c r="H39" s="8"/>
      <c r="I39" s="8"/>
      <c r="J39" s="8"/>
      <c r="K39" s="8"/>
      <c r="L39" s="8"/>
      <c r="M39" s="8"/>
      <c r="N39" s="8"/>
      <c r="O39" s="9">
        <f>E39*F39*G39</f>
        <v>95470.200000000012</v>
      </c>
      <c r="P39" s="60">
        <f>P24*F39*G39</f>
        <v>17025.600000000002</v>
      </c>
      <c r="Q39" s="60">
        <f>Q24*F39*G39</f>
        <v>14736</v>
      </c>
      <c r="R39" s="59">
        <f>R24*F39*G39</f>
        <v>13195.800000000001</v>
      </c>
      <c r="S39" s="59">
        <f>S24*$F$39*$G$39</f>
        <v>12751.2</v>
      </c>
      <c r="T39" s="59">
        <f>T24*$F$39*$G$39</f>
        <v>18618</v>
      </c>
      <c r="U39" s="59">
        <f>U24*$F$39*$G$39</f>
        <v>19143.600000000002</v>
      </c>
    </row>
    <row r="40" spans="2:23" s="2" customFormat="1" ht="48" customHeight="1" thickTop="1" thickBot="1" x14ac:dyDescent="0.3">
      <c r="B40" s="116" t="s">
        <v>78</v>
      </c>
      <c r="C40" s="119" t="s">
        <v>63</v>
      </c>
      <c r="D40" s="116" t="s">
        <v>34</v>
      </c>
      <c r="E40" s="8">
        <f>D12</f>
        <v>5268</v>
      </c>
      <c r="F40" s="8">
        <f>F24</f>
        <v>6</v>
      </c>
      <c r="G40" s="8">
        <v>0.2</v>
      </c>
      <c r="H40" s="92" t="s">
        <v>112</v>
      </c>
      <c r="I40" s="93"/>
      <c r="J40" s="93"/>
      <c r="K40" s="94"/>
      <c r="L40" s="8">
        <f>D.M.T!M21</f>
        <v>7.62</v>
      </c>
      <c r="M40" s="69" t="s">
        <v>74</v>
      </c>
      <c r="N40" s="58">
        <f>ROUND(E40*F40*G40*L40,2)</f>
        <v>48170.59</v>
      </c>
      <c r="O40" s="145">
        <f>ROUND(SUM(N40:N51),2)</f>
        <v>728756.59</v>
      </c>
      <c r="P40" s="61"/>
      <c r="Q40" s="61"/>
      <c r="R40" s="61"/>
      <c r="S40" s="61"/>
      <c r="T40" s="61"/>
      <c r="U40" s="61"/>
      <c r="V40" s="16"/>
      <c r="W40" s="89"/>
    </row>
    <row r="41" spans="2:23" s="2" customFormat="1" ht="48" customHeight="1" thickTop="1" thickBot="1" x14ac:dyDescent="0.3">
      <c r="B41" s="117"/>
      <c r="C41" s="120"/>
      <c r="D41" s="117"/>
      <c r="E41" s="8">
        <f>D13</f>
        <v>8920</v>
      </c>
      <c r="F41" s="8">
        <v>6</v>
      </c>
      <c r="G41" s="8">
        <v>0.2</v>
      </c>
      <c r="H41" s="92" t="s">
        <v>113</v>
      </c>
      <c r="I41" s="93"/>
      <c r="J41" s="93"/>
      <c r="K41" s="94"/>
      <c r="L41" s="8">
        <f>D.M.T!M28</f>
        <v>3.77</v>
      </c>
      <c r="M41" s="69" t="s">
        <v>75</v>
      </c>
      <c r="N41" s="58">
        <f t="shared" ref="N41:N51" si="3">ROUND(E41*F41*G41*L41,2)</f>
        <v>40354.080000000002</v>
      </c>
      <c r="O41" s="146"/>
      <c r="P41" s="61">
        <f>SUM(N40:N41)</f>
        <v>88524.67</v>
      </c>
      <c r="Q41" s="61">
        <f>N42</f>
        <v>145149.6</v>
      </c>
      <c r="R41" s="61">
        <f>SUM(N43:N44)</f>
        <v>73979.83</v>
      </c>
      <c r="S41" s="61">
        <f>SUM(N45:N46)</f>
        <v>82163.81</v>
      </c>
      <c r="T41" s="61">
        <f>SUM(N47:N49)</f>
        <v>201385.55</v>
      </c>
      <c r="U41" s="61">
        <f>SUM(N50:N51)</f>
        <v>137553.13</v>
      </c>
      <c r="W41" s="89"/>
    </row>
    <row r="42" spans="2:23" s="2" customFormat="1" ht="48" customHeight="1" thickTop="1" thickBot="1" x14ac:dyDescent="0.3">
      <c r="B42" s="117"/>
      <c r="C42" s="120"/>
      <c r="D42" s="117"/>
      <c r="E42" s="8">
        <f>D14</f>
        <v>12280</v>
      </c>
      <c r="F42" s="8">
        <f t="shared" ref="F42:G42" si="4">F41</f>
        <v>6</v>
      </c>
      <c r="G42" s="8">
        <f t="shared" si="4"/>
        <v>0.2</v>
      </c>
      <c r="H42" s="92" t="s">
        <v>114</v>
      </c>
      <c r="I42" s="93"/>
      <c r="J42" s="93"/>
      <c r="K42" s="94"/>
      <c r="L42" s="8">
        <f>D.M.T!M35</f>
        <v>9.85</v>
      </c>
      <c r="M42" s="69" t="s">
        <v>81</v>
      </c>
      <c r="N42" s="58">
        <f t="shared" si="3"/>
        <v>145149.6</v>
      </c>
      <c r="O42" s="146"/>
      <c r="P42" s="59"/>
      <c r="Q42" s="59"/>
      <c r="R42" s="59"/>
      <c r="S42" s="59"/>
      <c r="T42" s="59"/>
      <c r="W42" s="89"/>
    </row>
    <row r="43" spans="2:23" s="2" customFormat="1" ht="48" customHeight="1" thickTop="1" thickBot="1" x14ac:dyDescent="0.3">
      <c r="B43" s="117"/>
      <c r="C43" s="120"/>
      <c r="D43" s="117"/>
      <c r="E43" s="8">
        <f>D15</f>
        <v>5072.5</v>
      </c>
      <c r="F43" s="8">
        <f t="shared" ref="F43:G43" si="5">F42</f>
        <v>6</v>
      </c>
      <c r="G43" s="8">
        <f t="shared" si="5"/>
        <v>0.2</v>
      </c>
      <c r="H43" s="92" t="s">
        <v>115</v>
      </c>
      <c r="I43" s="93"/>
      <c r="J43" s="93"/>
      <c r="K43" s="94"/>
      <c r="L43" s="8">
        <f>D.M.T!M42</f>
        <v>8.51</v>
      </c>
      <c r="M43" s="69" t="s">
        <v>124</v>
      </c>
      <c r="N43" s="58">
        <f t="shared" si="3"/>
        <v>51800.37</v>
      </c>
      <c r="O43" s="146"/>
      <c r="P43" s="59"/>
      <c r="Q43" s="59"/>
      <c r="R43" s="59"/>
      <c r="S43" s="59"/>
      <c r="T43" s="59"/>
      <c r="W43" s="89"/>
    </row>
    <row r="44" spans="2:23" s="2" customFormat="1" ht="48" customHeight="1" thickTop="1" thickBot="1" x14ac:dyDescent="0.3">
      <c r="B44" s="117"/>
      <c r="C44" s="120"/>
      <c r="D44" s="117"/>
      <c r="E44" s="8">
        <f>D16</f>
        <v>5924</v>
      </c>
      <c r="F44" s="8">
        <f t="shared" ref="F44:G44" si="6">F43</f>
        <v>6</v>
      </c>
      <c r="G44" s="8">
        <f t="shared" si="6"/>
        <v>0.2</v>
      </c>
      <c r="H44" s="92" t="s">
        <v>116</v>
      </c>
      <c r="I44" s="93"/>
      <c r="J44" s="93"/>
      <c r="K44" s="94"/>
      <c r="L44" s="8">
        <f>D.M.T!M49</f>
        <v>3.12</v>
      </c>
      <c r="M44" s="69" t="s">
        <v>125</v>
      </c>
      <c r="N44" s="58">
        <f t="shared" si="3"/>
        <v>22179.46</v>
      </c>
      <c r="O44" s="146"/>
      <c r="P44" s="59"/>
      <c r="Q44" s="59"/>
      <c r="R44" s="59"/>
      <c r="S44" s="59"/>
      <c r="T44" s="59"/>
      <c r="W44" s="89"/>
    </row>
    <row r="45" spans="2:23" s="2" customFormat="1" ht="48" customHeight="1" thickTop="1" thickBot="1" x14ac:dyDescent="0.3">
      <c r="B45" s="117"/>
      <c r="C45" s="120"/>
      <c r="D45" s="117"/>
      <c r="E45" s="8">
        <f>D17</f>
        <v>10016</v>
      </c>
      <c r="F45" s="8">
        <f t="shared" ref="F45:G45" si="7">F44</f>
        <v>6</v>
      </c>
      <c r="G45" s="8">
        <f t="shared" si="7"/>
        <v>0.2</v>
      </c>
      <c r="H45" s="92" t="s">
        <v>117</v>
      </c>
      <c r="I45" s="93"/>
      <c r="J45" s="93"/>
      <c r="K45" s="94"/>
      <c r="L45" s="8">
        <f>D.M.T!M56</f>
        <v>6.59</v>
      </c>
      <c r="M45" s="69" t="s">
        <v>126</v>
      </c>
      <c r="N45" s="58">
        <f t="shared" si="3"/>
        <v>79206.53</v>
      </c>
      <c r="O45" s="146"/>
      <c r="P45" s="59"/>
      <c r="Q45" s="59"/>
      <c r="R45" s="59"/>
      <c r="S45" s="59"/>
      <c r="T45" s="59"/>
      <c r="W45" s="89"/>
    </row>
    <row r="46" spans="2:23" s="2" customFormat="1" ht="48" customHeight="1" thickTop="1" thickBot="1" x14ac:dyDescent="0.3">
      <c r="B46" s="117"/>
      <c r="C46" s="120"/>
      <c r="D46" s="117"/>
      <c r="E46" s="8">
        <f>D18</f>
        <v>610</v>
      </c>
      <c r="F46" s="8">
        <f t="shared" ref="F46:G46" si="8">F45</f>
        <v>6</v>
      </c>
      <c r="G46" s="8">
        <f t="shared" si="8"/>
        <v>0.2</v>
      </c>
      <c r="H46" s="92" t="s">
        <v>118</v>
      </c>
      <c r="I46" s="93"/>
      <c r="J46" s="93"/>
      <c r="K46" s="94"/>
      <c r="L46" s="8">
        <f>D.M.T!M63</f>
        <v>4.04</v>
      </c>
      <c r="M46" s="69" t="s">
        <v>127</v>
      </c>
      <c r="N46" s="58">
        <f t="shared" si="3"/>
        <v>2957.28</v>
      </c>
      <c r="O46" s="146"/>
      <c r="P46" s="59"/>
      <c r="Q46" s="59"/>
      <c r="R46" s="59"/>
      <c r="S46" s="59"/>
      <c r="T46" s="59"/>
      <c r="W46" s="89"/>
    </row>
    <row r="47" spans="2:23" s="2" customFormat="1" ht="48" customHeight="1" thickTop="1" thickBot="1" x14ac:dyDescent="0.3">
      <c r="B47" s="117"/>
      <c r="C47" s="120"/>
      <c r="D47" s="117"/>
      <c r="E47" s="8">
        <f>D19</f>
        <v>3569</v>
      </c>
      <c r="F47" s="8">
        <f t="shared" ref="F47:G47" si="9">F46</f>
        <v>6</v>
      </c>
      <c r="G47" s="8">
        <f t="shared" si="9"/>
        <v>0.2</v>
      </c>
      <c r="H47" s="92" t="s">
        <v>119</v>
      </c>
      <c r="I47" s="93"/>
      <c r="J47" s="93"/>
      <c r="K47" s="94"/>
      <c r="L47" s="8">
        <f>D.M.T!M70</f>
        <v>6.78</v>
      </c>
      <c r="M47" s="69" t="s">
        <v>128</v>
      </c>
      <c r="N47" s="58">
        <f t="shared" si="3"/>
        <v>29037.38</v>
      </c>
      <c r="O47" s="146"/>
      <c r="P47" s="59"/>
      <c r="Q47" s="59"/>
      <c r="R47" s="59"/>
      <c r="S47" s="59"/>
      <c r="T47" s="59"/>
      <c r="W47" s="89"/>
    </row>
    <row r="48" spans="2:23" s="2" customFormat="1" ht="48" customHeight="1" thickTop="1" thickBot="1" x14ac:dyDescent="0.3">
      <c r="B48" s="117"/>
      <c r="C48" s="120"/>
      <c r="D48" s="117"/>
      <c r="E48" s="8">
        <f>D20</f>
        <v>4299</v>
      </c>
      <c r="F48" s="8">
        <f t="shared" ref="F48:G48" si="10">F47</f>
        <v>6</v>
      </c>
      <c r="G48" s="8">
        <f t="shared" si="10"/>
        <v>0.2</v>
      </c>
      <c r="H48" s="92" t="s">
        <v>120</v>
      </c>
      <c r="I48" s="93"/>
      <c r="J48" s="93"/>
      <c r="K48" s="94"/>
      <c r="L48" s="8">
        <f>D.M.T!M77</f>
        <v>8.4700000000000006</v>
      </c>
      <c r="M48" s="69" t="s">
        <v>129</v>
      </c>
      <c r="N48" s="58">
        <f t="shared" si="3"/>
        <v>43695.040000000001</v>
      </c>
      <c r="O48" s="146"/>
      <c r="P48" s="59"/>
      <c r="Q48" s="59"/>
      <c r="R48" s="59"/>
      <c r="S48" s="59"/>
      <c r="T48" s="59"/>
      <c r="W48" s="89"/>
    </row>
    <row r="49" spans="2:23" s="2" customFormat="1" ht="48" customHeight="1" thickTop="1" thickBot="1" x14ac:dyDescent="0.3">
      <c r="B49" s="117"/>
      <c r="C49" s="120"/>
      <c r="D49" s="117"/>
      <c r="E49" s="8">
        <f>D21</f>
        <v>7647</v>
      </c>
      <c r="F49" s="8">
        <f t="shared" ref="F49:G49" si="11">F48</f>
        <v>6</v>
      </c>
      <c r="G49" s="8">
        <f t="shared" si="11"/>
        <v>0.2</v>
      </c>
      <c r="H49" s="92" t="s">
        <v>121</v>
      </c>
      <c r="I49" s="93"/>
      <c r="J49" s="93"/>
      <c r="K49" s="94"/>
      <c r="L49" s="8">
        <f>D.M.T!M84</f>
        <v>14.02</v>
      </c>
      <c r="M49" s="69" t="s">
        <v>130</v>
      </c>
      <c r="N49" s="58">
        <f t="shared" si="3"/>
        <v>128653.13</v>
      </c>
      <c r="O49" s="146"/>
      <c r="P49" s="59"/>
      <c r="Q49" s="59"/>
      <c r="R49" s="59"/>
      <c r="S49" s="59"/>
      <c r="T49" s="59"/>
      <c r="W49" s="89"/>
    </row>
    <row r="50" spans="2:23" s="2" customFormat="1" ht="48" customHeight="1" thickTop="1" thickBot="1" x14ac:dyDescent="0.3">
      <c r="B50" s="117"/>
      <c r="C50" s="120"/>
      <c r="D50" s="117"/>
      <c r="E50" s="8">
        <f>D22</f>
        <v>5695</v>
      </c>
      <c r="F50" s="8">
        <f t="shared" ref="F50:G50" si="12">F49</f>
        <v>6</v>
      </c>
      <c r="G50" s="8">
        <f t="shared" si="12"/>
        <v>0.2</v>
      </c>
      <c r="H50" s="92" t="s">
        <v>122</v>
      </c>
      <c r="I50" s="93"/>
      <c r="J50" s="93"/>
      <c r="K50" s="94"/>
      <c r="L50" s="8">
        <f>D.M.T!M91</f>
        <v>2.89</v>
      </c>
      <c r="M50" s="69" t="s">
        <v>131</v>
      </c>
      <c r="N50" s="58">
        <f t="shared" si="3"/>
        <v>19750.259999999998</v>
      </c>
      <c r="O50" s="146"/>
      <c r="P50" s="59"/>
      <c r="Q50" s="59"/>
      <c r="R50" s="59"/>
      <c r="S50" s="59"/>
      <c r="T50" s="59"/>
      <c r="W50" s="89"/>
    </row>
    <row r="51" spans="2:23" s="2" customFormat="1" ht="48" customHeight="1" thickTop="1" thickBot="1" x14ac:dyDescent="0.3">
      <c r="B51" s="118"/>
      <c r="C51" s="121"/>
      <c r="D51" s="118"/>
      <c r="E51" s="8">
        <f>D23</f>
        <v>10258</v>
      </c>
      <c r="F51" s="8">
        <f t="shared" ref="F51:G51" si="13">F50</f>
        <v>6</v>
      </c>
      <c r="G51" s="8">
        <f t="shared" si="13"/>
        <v>0.2</v>
      </c>
      <c r="H51" s="92" t="s">
        <v>123</v>
      </c>
      <c r="I51" s="93"/>
      <c r="J51" s="93"/>
      <c r="K51" s="94"/>
      <c r="L51" s="8">
        <f>D.M.T!M98</f>
        <v>9.57</v>
      </c>
      <c r="M51" s="69" t="s">
        <v>132</v>
      </c>
      <c r="N51" s="58">
        <f t="shared" si="3"/>
        <v>117802.87</v>
      </c>
      <c r="O51" s="147"/>
      <c r="P51" s="59"/>
      <c r="Q51" s="59"/>
      <c r="R51" s="59"/>
      <c r="S51" s="59"/>
      <c r="T51" s="59"/>
      <c r="W51" s="89"/>
    </row>
    <row r="52" spans="2:23" s="2" customFormat="1" ht="35.25" customHeight="1" thickTop="1" thickBot="1" x14ac:dyDescent="0.3">
      <c r="B52" s="6" t="s">
        <v>79</v>
      </c>
      <c r="C52" s="20" t="s">
        <v>64</v>
      </c>
      <c r="D52" s="6" t="s">
        <v>31</v>
      </c>
      <c r="E52" s="8">
        <f>D24</f>
        <v>79558.5</v>
      </c>
      <c r="F52" s="8">
        <f>F24</f>
        <v>6</v>
      </c>
      <c r="G52" s="8">
        <v>0.2</v>
      </c>
      <c r="H52" s="8"/>
      <c r="I52" s="8"/>
      <c r="J52" s="8"/>
      <c r="K52" s="8"/>
      <c r="L52" s="8"/>
      <c r="M52" s="8"/>
      <c r="N52" s="8"/>
      <c r="O52" s="9">
        <f>ROUND(E52*F52*G52,2)</f>
        <v>95470.2</v>
      </c>
      <c r="P52" s="59">
        <f>P39</f>
        <v>17025.600000000002</v>
      </c>
      <c r="Q52" s="59">
        <f>Q39</f>
        <v>14736</v>
      </c>
      <c r="R52" s="59">
        <f>R39</f>
        <v>13195.800000000001</v>
      </c>
      <c r="S52" s="59">
        <f>S39</f>
        <v>12751.2</v>
      </c>
      <c r="T52" s="59">
        <f t="shared" ref="T52:U52" si="14">T39</f>
        <v>18618</v>
      </c>
      <c r="U52" s="59">
        <f t="shared" si="14"/>
        <v>19143.600000000002</v>
      </c>
    </row>
    <row r="53" spans="2:23" s="2" customFormat="1" ht="35.25" customHeight="1" thickTop="1" thickBot="1" x14ac:dyDescent="0.3">
      <c r="B53" s="6" t="s">
        <v>80</v>
      </c>
      <c r="C53" s="20" t="s">
        <v>88</v>
      </c>
      <c r="D53" s="6" t="s">
        <v>2</v>
      </c>
      <c r="E53" s="8">
        <f>E52</f>
        <v>79558.5</v>
      </c>
      <c r="F53" s="8">
        <f>F24</f>
        <v>6</v>
      </c>
      <c r="G53" s="8"/>
      <c r="H53" s="8"/>
      <c r="I53" s="8"/>
      <c r="J53" s="8"/>
      <c r="K53" s="8"/>
      <c r="L53" s="8"/>
      <c r="M53" s="8"/>
      <c r="N53" s="8"/>
      <c r="O53" s="9">
        <f>E53*F53</f>
        <v>477351</v>
      </c>
      <c r="P53" s="59">
        <f>P24*$F$53</f>
        <v>85128</v>
      </c>
      <c r="Q53" s="59">
        <f t="shared" ref="Q53:U53" si="15">Q24*$F$53</f>
        <v>73680</v>
      </c>
      <c r="R53" s="59">
        <f t="shared" si="15"/>
        <v>65979</v>
      </c>
      <c r="S53" s="59">
        <f t="shared" si="15"/>
        <v>63756</v>
      </c>
      <c r="T53" s="59">
        <f t="shared" si="15"/>
        <v>93090</v>
      </c>
      <c r="U53" s="59">
        <f t="shared" si="15"/>
        <v>95718</v>
      </c>
    </row>
    <row r="54" spans="2:23" s="2" customFormat="1" ht="3" customHeight="1" thickTop="1" thickBot="1" x14ac:dyDescent="0.3"/>
    <row r="55" spans="2:23" s="7" customFormat="1" ht="24.75" customHeight="1" thickTop="1" thickBot="1" x14ac:dyDescent="0.3">
      <c r="B55" s="88">
        <v>4</v>
      </c>
      <c r="C55" s="100" t="s">
        <v>84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>
        <v>2</v>
      </c>
      <c r="N55" s="101"/>
      <c r="O55" s="102">
        <f>F54*2</f>
        <v>0</v>
      </c>
      <c r="P55" s="70"/>
    </row>
    <row r="56" spans="2:23" s="2" customFormat="1" ht="39.75" thickTop="1" thickBot="1" x14ac:dyDescent="0.3">
      <c r="B56" s="6" t="s">
        <v>72</v>
      </c>
      <c r="C56" s="20" t="s">
        <v>111</v>
      </c>
      <c r="D56" s="6" t="s">
        <v>69</v>
      </c>
      <c r="E56" s="8"/>
      <c r="F56" s="8">
        <v>6</v>
      </c>
      <c r="G56" s="8"/>
      <c r="H56" s="8"/>
      <c r="I56" s="8"/>
      <c r="J56" s="8"/>
      <c r="K56" s="8"/>
      <c r="L56" s="8"/>
      <c r="M56" s="8">
        <v>26</v>
      </c>
      <c r="N56" s="8"/>
      <c r="O56" s="9">
        <f>ROUND(F56*M56,2)</f>
        <v>156</v>
      </c>
      <c r="P56" s="59">
        <f>F56*11</f>
        <v>66</v>
      </c>
      <c r="Q56" s="59">
        <f>F56*2</f>
        <v>12</v>
      </c>
      <c r="R56" s="59">
        <f>F56*13</f>
        <v>78</v>
      </c>
      <c r="S56" s="59"/>
      <c r="T56" s="59"/>
      <c r="U56" s="59"/>
    </row>
    <row r="57" spans="2:23" s="2" customFormat="1" ht="5.25" customHeight="1" thickTop="1" thickBot="1" x14ac:dyDescent="0.3"/>
    <row r="58" spans="2:23" s="7" customFormat="1" ht="24.75" customHeight="1" thickTop="1" thickBot="1" x14ac:dyDescent="0.3">
      <c r="B58" s="88">
        <v>5</v>
      </c>
      <c r="C58" s="100" t="s">
        <v>59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>
        <v>1</v>
      </c>
      <c r="N58" s="101"/>
      <c r="O58" s="102">
        <f>M57</f>
        <v>0</v>
      </c>
      <c r="P58" s="70"/>
    </row>
    <row r="59" spans="2:23" s="2" customFormat="1" ht="35.25" customHeight="1" thickTop="1" thickBot="1" x14ac:dyDescent="0.3">
      <c r="B59" s="6" t="s">
        <v>76</v>
      </c>
      <c r="C59" s="20" t="s">
        <v>65</v>
      </c>
      <c r="D59" s="6" t="s">
        <v>33</v>
      </c>
      <c r="E59" s="8"/>
      <c r="F59" s="8"/>
      <c r="G59" s="8"/>
      <c r="H59" s="8"/>
      <c r="I59" s="8"/>
      <c r="J59" s="8"/>
      <c r="K59" s="8"/>
      <c r="L59" s="8"/>
      <c r="M59" s="8">
        <v>1</v>
      </c>
      <c r="N59" s="8"/>
      <c r="O59" s="9">
        <f>M59</f>
        <v>1</v>
      </c>
      <c r="P59" s="59"/>
      <c r="Q59" s="59"/>
      <c r="R59" s="59"/>
      <c r="S59" s="77"/>
      <c r="T59" s="59"/>
      <c r="U59" s="77">
        <v>1</v>
      </c>
      <c r="V59" s="77"/>
    </row>
    <row r="60" spans="2:23" s="2" customFormat="1" ht="12" thickTop="1" x14ac:dyDescent="0.25"/>
    <row r="61" spans="2:23" s="2" customFormat="1" ht="11.25" x14ac:dyDescent="0.25"/>
    <row r="62" spans="2:23" s="2" customFormat="1" ht="11.25" x14ac:dyDescent="0.25"/>
    <row r="63" spans="2:23" s="2" customFormat="1" ht="11.25" x14ac:dyDescent="0.25"/>
    <row r="64" spans="2:23" s="2" customFormat="1" ht="15.75" customHeight="1" x14ac:dyDescent="0.25"/>
    <row r="65" s="2" customFormat="1" ht="11.25" hidden="1" x14ac:dyDescent="0.25"/>
    <row r="66" s="2" customFormat="1" ht="11.25" hidden="1" x14ac:dyDescent="0.25"/>
    <row r="67" s="2" customFormat="1" ht="30.75" customHeight="1" x14ac:dyDescent="0.25"/>
    <row r="68" s="2" customFormat="1" ht="11.25" hidden="1" x14ac:dyDescent="0.25"/>
    <row r="69" s="2" customFormat="1" ht="11.25" hidden="1" x14ac:dyDescent="0.25"/>
    <row r="70" s="2" customFormat="1" ht="11.25" hidden="1" x14ac:dyDescent="0.25"/>
    <row r="71" s="2" customFormat="1" ht="11.25" hidden="1" x14ac:dyDescent="0.25"/>
    <row r="72" s="2" customFormat="1" ht="15.75" hidden="1" customHeight="1" x14ac:dyDescent="0.25"/>
    <row r="73" s="2" customFormat="1" ht="15.75" hidden="1" customHeight="1" x14ac:dyDescent="0.25"/>
    <row r="74" s="2" customFormat="1" ht="15.75" hidden="1" customHeight="1" x14ac:dyDescent="0.25"/>
    <row r="75" s="2" customFormat="1" ht="15.75" hidden="1" customHeight="1" x14ac:dyDescent="0.25"/>
    <row r="76" s="2" customFormat="1" ht="15.75" hidden="1" customHeight="1" x14ac:dyDescent="0.25"/>
    <row r="77" s="2" customFormat="1" ht="15.75" hidden="1" customHeight="1" x14ac:dyDescent="0.25"/>
    <row r="78" s="2" customFormat="1" ht="15.75" hidden="1" customHeight="1" x14ac:dyDescent="0.25"/>
    <row r="79" s="2" customFormat="1" ht="15.75" hidden="1" customHeight="1" x14ac:dyDescent="0.25"/>
    <row r="80" s="2" customFormat="1" ht="15.75" hidden="1" customHeight="1" x14ac:dyDescent="0.25"/>
    <row r="81" s="2" customFormat="1" ht="15.75" hidden="1" customHeight="1" x14ac:dyDescent="0.25"/>
    <row r="82" s="2" customFormat="1" ht="15.75" hidden="1" customHeight="1" x14ac:dyDescent="0.25"/>
    <row r="83" s="2" customFormat="1" ht="15.75" hidden="1" customHeight="1" x14ac:dyDescent="0.25"/>
    <row r="84" s="2" customFormat="1" ht="15.75" hidden="1" customHeight="1" x14ac:dyDescent="0.25"/>
    <row r="85" s="2" customFormat="1" ht="15.75" hidden="1" customHeight="1" x14ac:dyDescent="0.25"/>
    <row r="86" s="2" customFormat="1" ht="15.75" hidden="1" customHeight="1" x14ac:dyDescent="0.25"/>
    <row r="87" s="2" customFormat="1" ht="15.75" hidden="1" customHeight="1" x14ac:dyDescent="0.25"/>
    <row r="88" s="2" customFormat="1" ht="15.75" hidden="1" customHeight="1" x14ac:dyDescent="0.25"/>
    <row r="89" s="2" customFormat="1" ht="15.75" hidden="1" customHeight="1" x14ac:dyDescent="0.25"/>
    <row r="90" s="2" customFormat="1" ht="15.75" hidden="1" customHeight="1" x14ac:dyDescent="0.25"/>
    <row r="91" s="2" customFormat="1" ht="15.75" hidden="1" customHeight="1" x14ac:dyDescent="0.25"/>
    <row r="92" s="2" customFormat="1" ht="11.25" hidden="1" x14ac:dyDescent="0.25"/>
    <row r="93" s="2" customFormat="1" ht="11.25" hidden="1" x14ac:dyDescent="0.25"/>
    <row r="94" s="2" customFormat="1" ht="11.25" hidden="1" x14ac:dyDescent="0.25"/>
    <row r="95" s="2" customFormat="1" ht="11.25" hidden="1" x14ac:dyDescent="0.25"/>
    <row r="96" s="2" customFormat="1" ht="11.25" hidden="1" x14ac:dyDescent="0.25"/>
    <row r="97" spans="5:15" s="2" customFormat="1" ht="11.25" hidden="1" x14ac:dyDescent="0.25"/>
    <row r="98" spans="5:15" s="2" customFormat="1" ht="11.25" hidden="1" x14ac:dyDescent="0.25"/>
    <row r="99" spans="5:15" s="2" customFormat="1" ht="15.75" hidden="1" x14ac:dyDescent="0.25">
      <c r="E99"/>
      <c r="F99"/>
      <c r="G99"/>
      <c r="H99"/>
      <c r="I99"/>
      <c r="J99"/>
      <c r="K99"/>
      <c r="L99"/>
      <c r="M99"/>
      <c r="N99"/>
    </row>
    <row r="100" spans="5:15" s="2" customFormat="1" ht="15.75" hidden="1" x14ac:dyDescent="0.25">
      <c r="E100"/>
      <c r="F100"/>
      <c r="G100"/>
      <c r="H100"/>
      <c r="I100"/>
      <c r="J100"/>
      <c r="K100"/>
      <c r="L100"/>
      <c r="M100"/>
      <c r="N100"/>
      <c r="O100"/>
    </row>
    <row r="101" spans="5:15" ht="15.75" hidden="1" x14ac:dyDescent="0.25"/>
    <row r="102" spans="5:15" ht="15.75" hidden="1" x14ac:dyDescent="0.25"/>
    <row r="103" spans="5:15" ht="15.75" hidden="1" x14ac:dyDescent="0.25"/>
    <row r="104" spans="5:15" ht="15.75" hidden="1" x14ac:dyDescent="0.25"/>
    <row r="105" spans="5:15" ht="15.75" hidden="1" x14ac:dyDescent="0.25"/>
    <row r="106" spans="5:15" ht="15.75" hidden="1" x14ac:dyDescent="0.25"/>
    <row r="107" spans="5:15" ht="15.75" hidden="1" x14ac:dyDescent="0.25"/>
    <row r="108" spans="5:15" ht="15.75" hidden="1" x14ac:dyDescent="0.25"/>
    <row r="109" spans="5:15" ht="15.75" hidden="1" x14ac:dyDescent="0.25"/>
    <row r="110" spans="5:15" ht="15.75" hidden="1" x14ac:dyDescent="0.25"/>
    <row r="111" spans="5:15" ht="15.75" hidden="1" x14ac:dyDescent="0.25"/>
    <row r="112" spans="5:15" ht="15.75" hidden="1" x14ac:dyDescent="0.25"/>
    <row r="113" ht="15.75" hidden="1" x14ac:dyDescent="0.25"/>
    <row r="114" ht="15.75" hidden="1" x14ac:dyDescent="0.25"/>
    <row r="115" ht="15.75" hidden="1" x14ac:dyDescent="0.25"/>
    <row r="116" ht="15.75" hidden="1" x14ac:dyDescent="0.25"/>
    <row r="117" ht="15.75" hidden="1" x14ac:dyDescent="0.25"/>
    <row r="118" ht="15.75" hidden="1" x14ac:dyDescent="0.25"/>
    <row r="119" ht="15.75" hidden="1" x14ac:dyDescent="0.25"/>
    <row r="120" ht="15.75" hidden="1" x14ac:dyDescent="0.25"/>
    <row r="121" ht="15.75" hidden="1" x14ac:dyDescent="0.25"/>
    <row r="122" ht="15.75" hidden="1" x14ac:dyDescent="0.25"/>
    <row r="123" ht="15.75" hidden="1" x14ac:dyDescent="0.25"/>
    <row r="124" ht="15.75" hidden="1" x14ac:dyDescent="0.25"/>
    <row r="125" ht="15.75" hidden="1" x14ac:dyDescent="0.25"/>
    <row r="126" ht="15.75" hidden="1" x14ac:dyDescent="0.25"/>
    <row r="127" ht="15.75" hidden="1" x14ac:dyDescent="0.25"/>
    <row r="128" ht="15.75" hidden="1" x14ac:dyDescent="0.25"/>
    <row r="129" ht="15.75" hidden="1" x14ac:dyDescent="0.25"/>
    <row r="130" ht="15.75" hidden="1" x14ac:dyDescent="0.25"/>
    <row r="131" ht="15.75" hidden="1" x14ac:dyDescent="0.25"/>
    <row r="132" ht="15.75" hidden="1" x14ac:dyDescent="0.25"/>
    <row r="133" ht="15.75" hidden="1" x14ac:dyDescent="0.25"/>
    <row r="134" ht="15.75" hidden="1" x14ac:dyDescent="0.25"/>
    <row r="135" ht="15.75" hidden="1" x14ac:dyDescent="0.25"/>
    <row r="136" ht="15.75" hidden="1" x14ac:dyDescent="0.25"/>
    <row r="137" ht="15.75" hidden="1" x14ac:dyDescent="0.25"/>
    <row r="138" ht="15.75" hidden="1" x14ac:dyDescent="0.25"/>
    <row r="139" ht="15.75" hidden="1" x14ac:dyDescent="0.25"/>
    <row r="140" ht="15.75" hidden="1" x14ac:dyDescent="0.25"/>
    <row r="141" ht="15.75" hidden="1" x14ac:dyDescent="0.25"/>
    <row r="142" ht="15.75" hidden="1" x14ac:dyDescent="0.25"/>
    <row r="143" ht="15.75" hidden="1" x14ac:dyDescent="0.25"/>
    <row r="144" ht="15.75" hidden="1" x14ac:dyDescent="0.25"/>
    <row r="145" ht="15.75" hidden="1" x14ac:dyDescent="0.25"/>
    <row r="146" ht="15.75" hidden="1" x14ac:dyDescent="0.25"/>
    <row r="147" ht="15.75" hidden="1" x14ac:dyDescent="0.25"/>
    <row r="148" ht="15.75" hidden="1" x14ac:dyDescent="0.25"/>
    <row r="149" ht="15.75" hidden="1" x14ac:dyDescent="0.25"/>
    <row r="150" ht="15.75" hidden="1" x14ac:dyDescent="0.25"/>
    <row r="151" ht="15.75" hidden="1" x14ac:dyDescent="0.25"/>
    <row r="152" ht="15.75" hidden="1" x14ac:dyDescent="0.25"/>
    <row r="153" ht="15.75" hidden="1" x14ac:dyDescent="0.25"/>
    <row r="154" ht="15.75" hidden="1" x14ac:dyDescent="0.25"/>
    <row r="155" ht="15.75" hidden="1" x14ac:dyDescent="0.25"/>
    <row r="156" ht="15.75" hidden="1" x14ac:dyDescent="0.25"/>
    <row r="157" ht="15.75" hidden="1" x14ac:dyDescent="0.25"/>
    <row r="158" ht="15.75" hidden="1" x14ac:dyDescent="0.25"/>
    <row r="159" ht="15.75" hidden="1" x14ac:dyDescent="0.25"/>
    <row r="160" ht="15.75" hidden="1" x14ac:dyDescent="0.25"/>
    <row r="161" ht="15.75" hidden="1" x14ac:dyDescent="0.25"/>
    <row r="162" ht="15.75" hidden="1" x14ac:dyDescent="0.25"/>
    <row r="163" ht="15.75" hidden="1" x14ac:dyDescent="0.25"/>
    <row r="164" ht="15.75" hidden="1" x14ac:dyDescent="0.25"/>
    <row r="165" ht="15.75" hidden="1" x14ac:dyDescent="0.25"/>
    <row r="166" ht="15.75" hidden="1" x14ac:dyDescent="0.25"/>
    <row r="167" ht="15.75" hidden="1" x14ac:dyDescent="0.25"/>
    <row r="168" ht="15.75" hidden="1" x14ac:dyDescent="0.25"/>
    <row r="169" ht="15.75" hidden="1" x14ac:dyDescent="0.25"/>
    <row r="170" ht="15.75" hidden="1" x14ac:dyDescent="0.25"/>
    <row r="171" ht="15.75" hidden="1" x14ac:dyDescent="0.25"/>
    <row r="172" ht="15.75" hidden="1" x14ac:dyDescent="0.25"/>
    <row r="173" ht="15.75" hidden="1" x14ac:dyDescent="0.25"/>
    <row r="174" ht="15.75" hidden="1" x14ac:dyDescent="0.25"/>
    <row r="175" ht="15.75" hidden="1" x14ac:dyDescent="0.25"/>
    <row r="176" ht="15.75" hidden="1" x14ac:dyDescent="0.25"/>
    <row r="177" ht="15.75" hidden="1" x14ac:dyDescent="0.25"/>
    <row r="178" ht="15.75" hidden="1" x14ac:dyDescent="0.25"/>
    <row r="179" ht="15.75" hidden="1" x14ac:dyDescent="0.25"/>
    <row r="180" ht="15.75" hidden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0" hidden="1" customHeight="1" x14ac:dyDescent="0.25"/>
    <row r="309" ht="0" hidden="1" customHeight="1" x14ac:dyDescent="0.25"/>
    <row r="310" ht="0" hidden="1" customHeight="1" x14ac:dyDescent="0.25"/>
    <row r="311" ht="0" hidden="1" customHeight="1" x14ac:dyDescent="0.25"/>
  </sheetData>
  <dataConsolidate/>
  <mergeCells count="68">
    <mergeCell ref="O40:O51"/>
    <mergeCell ref="B40:B51"/>
    <mergeCell ref="C40:C51"/>
    <mergeCell ref="D40:D51"/>
    <mergeCell ref="B9:J9"/>
    <mergeCell ref="D11:E11"/>
    <mergeCell ref="G11:H11"/>
    <mergeCell ref="G12:H12"/>
    <mergeCell ref="B26:J26"/>
    <mergeCell ref="D13:E13"/>
    <mergeCell ref="G13:H13"/>
    <mergeCell ref="D14:E14"/>
    <mergeCell ref="G14:H14"/>
    <mergeCell ref="D12:E12"/>
    <mergeCell ref="D15:E15"/>
    <mergeCell ref="G15:H15"/>
    <mergeCell ref="B2:O3"/>
    <mergeCell ref="I4:J4"/>
    <mergeCell ref="B5:J5"/>
    <mergeCell ref="E8:G8"/>
    <mergeCell ref="L8:N8"/>
    <mergeCell ref="I8:J8"/>
    <mergeCell ref="D16:E16"/>
    <mergeCell ref="G16:H16"/>
    <mergeCell ref="D17:E17"/>
    <mergeCell ref="G17:H17"/>
    <mergeCell ref="D18:E18"/>
    <mergeCell ref="G18:H18"/>
    <mergeCell ref="C58:O58"/>
    <mergeCell ref="C55:O55"/>
    <mergeCell ref="B29:O29"/>
    <mergeCell ref="C30:O30"/>
    <mergeCell ref="C37:O37"/>
    <mergeCell ref="H41:K41"/>
    <mergeCell ref="H42:K42"/>
    <mergeCell ref="H40:K40"/>
    <mergeCell ref="H43:K43"/>
    <mergeCell ref="H44:K44"/>
    <mergeCell ref="H45:K45"/>
    <mergeCell ref="H46:K46"/>
    <mergeCell ref="H47:K47"/>
    <mergeCell ref="H49:K49"/>
    <mergeCell ref="H50:K50"/>
    <mergeCell ref="H51:K51"/>
    <mergeCell ref="U24:U26"/>
    <mergeCell ref="B27:B28"/>
    <mergeCell ref="C27:C28"/>
    <mergeCell ref="C34:O34"/>
    <mergeCell ref="P24:P26"/>
    <mergeCell ref="R24:R26"/>
    <mergeCell ref="Q24:Q26"/>
    <mergeCell ref="S24:S26"/>
    <mergeCell ref="D27:D28"/>
    <mergeCell ref="E27:O27"/>
    <mergeCell ref="D24:E24"/>
    <mergeCell ref="G24:H24"/>
    <mergeCell ref="T24:T26"/>
    <mergeCell ref="D19:E19"/>
    <mergeCell ref="G19:H19"/>
    <mergeCell ref="D20:E20"/>
    <mergeCell ref="G20:H20"/>
    <mergeCell ref="H48:K48"/>
    <mergeCell ref="D21:E21"/>
    <mergeCell ref="G21:H21"/>
    <mergeCell ref="D22:E22"/>
    <mergeCell ref="G22:H22"/>
    <mergeCell ref="D23:E23"/>
    <mergeCell ref="G23:H23"/>
  </mergeCells>
  <phoneticPr fontId="16" type="noConversion"/>
  <printOptions horizontalCentered="1"/>
  <pageMargins left="0.23622047244094491" right="0.23622047244094491" top="0.19685039370078741" bottom="0.27559055118110237" header="0.31496062992125984" footer="0.15748031496062992"/>
  <pageSetup paperSize="9" scale="6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77B27-245E-48B6-8131-D99AC6BCDFD1}">
  <sheetPr>
    <tabColor rgb="FFC00000"/>
    <pageSetUpPr fitToPage="1"/>
  </sheetPr>
  <dimension ref="A1:S137"/>
  <sheetViews>
    <sheetView showGridLines="0" zoomScale="85" zoomScaleNormal="85" zoomScaleSheetLayoutView="70" workbookViewId="0">
      <selection activeCell="B30" sqref="B30:P30"/>
    </sheetView>
  </sheetViews>
  <sheetFormatPr defaultColWidth="0" defaultRowHeight="15.75" customHeight="1" zeroHeight="1" x14ac:dyDescent="0.25"/>
  <cols>
    <col min="1" max="1" width="5.25" style="28" customWidth="1"/>
    <col min="2" max="2" width="18.125" style="28" customWidth="1"/>
    <col min="3" max="3" width="17.75" style="28" customWidth="1"/>
    <col min="4" max="4" width="5.375" style="28" customWidth="1"/>
    <col min="5" max="8" width="7.375" style="28" customWidth="1"/>
    <col min="9" max="9" width="5.25" style="28" customWidth="1"/>
    <col min="10" max="10" width="6.375" style="28" customWidth="1"/>
    <col min="11" max="11" width="13.5" style="28" customWidth="1"/>
    <col min="12" max="12" width="14.375" style="28" customWidth="1"/>
    <col min="13" max="13" width="12.75" style="28" bestFit="1" customWidth="1"/>
    <col min="14" max="14" width="15.375" style="28" bestFit="1" customWidth="1"/>
    <col min="15" max="15" width="14.125" style="28" customWidth="1"/>
    <col min="16" max="16" width="13.875" style="28" customWidth="1"/>
    <col min="17" max="17" width="9" style="28" customWidth="1"/>
    <col min="18" max="19" width="2.625" style="28" customWidth="1"/>
    <col min="20" max="16384" width="2.625" style="28" hidden="1"/>
  </cols>
  <sheetData>
    <row r="1" spans="2:16" ht="25.5" customHeight="1" x14ac:dyDescent="0.25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2:16" ht="33.75" customHeight="1" x14ac:dyDescent="0.25">
      <c r="B2" s="110" t="s">
        <v>37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2:16" ht="26.25" customHeight="1" x14ac:dyDescent="0.25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</row>
    <row r="4" spans="2:16" ht="9" customHeight="1" x14ac:dyDescent="0.25">
      <c r="B4"/>
      <c r="C4"/>
      <c r="D4"/>
      <c r="E4"/>
      <c r="F4"/>
      <c r="G4"/>
      <c r="H4"/>
      <c r="I4"/>
      <c r="J4"/>
      <c r="K4"/>
      <c r="L4"/>
      <c r="M4"/>
      <c r="N4"/>
    </row>
    <row r="5" spans="2:16" ht="22.5" customHeight="1" x14ac:dyDescent="0.25">
      <c r="B5" s="122" t="s">
        <v>38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</row>
    <row r="6" spans="2:16" ht="20.25" customHeight="1" x14ac:dyDescent="0.25">
      <c r="B6" s="141" t="s">
        <v>134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29"/>
      <c r="N6" s="29"/>
    </row>
    <row r="7" spans="2:16" ht="18.75" x14ac:dyDescent="0.25">
      <c r="B7" s="30" t="s">
        <v>135</v>
      </c>
      <c r="C7" s="31"/>
      <c r="D7" s="29"/>
      <c r="E7" s="29"/>
      <c r="F7" s="29"/>
      <c r="G7" s="29"/>
      <c r="H7" s="29"/>
      <c r="I7" s="29"/>
      <c r="J7" s="29"/>
      <c r="K7" s="32"/>
      <c r="L7" s="29"/>
      <c r="M7" s="29"/>
      <c r="N7" s="29"/>
    </row>
    <row r="8" spans="2:16" ht="18.75" x14ac:dyDescent="0.25">
      <c r="B8" s="30" t="s">
        <v>136</v>
      </c>
      <c r="C8" s="31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2:16" ht="5.25" customHeight="1" thickBot="1" x14ac:dyDescent="0.3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2:16" ht="32.25" customHeight="1" thickTop="1" thickBot="1" x14ac:dyDescent="0.3">
      <c r="B10" s="142" t="s">
        <v>39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4"/>
    </row>
    <row r="11" spans="2:16" ht="6" customHeight="1" thickTop="1" x14ac:dyDescent="0.25">
      <c r="B11" s="33"/>
      <c r="C11" s="33"/>
      <c r="D11" s="33"/>
      <c r="E11" s="33"/>
      <c r="F11" s="33"/>
      <c r="G11" s="33"/>
      <c r="H11" s="33"/>
      <c r="I11" s="33"/>
      <c r="J11" s="33"/>
      <c r="K11" s="34"/>
      <c r="L11" s="35"/>
    </row>
    <row r="12" spans="2:16" x14ac:dyDescent="0.25">
      <c r="C12" s="36" t="s">
        <v>40</v>
      </c>
      <c r="D12" s="37">
        <v>0.2</v>
      </c>
      <c r="E12" s="37"/>
      <c r="F12" s="140" t="s">
        <v>41</v>
      </c>
      <c r="G12" s="140"/>
      <c r="H12" s="38">
        <v>1.75</v>
      </c>
      <c r="I12" s="37" t="s">
        <v>42</v>
      </c>
      <c r="J12" s="37"/>
      <c r="M12" s="39"/>
    </row>
    <row r="13" spans="2:16" x14ac:dyDescent="0.25">
      <c r="C13" s="36" t="s">
        <v>43</v>
      </c>
      <c r="D13" s="40">
        <v>20</v>
      </c>
      <c r="E13" s="41"/>
      <c r="F13" s="140" t="s">
        <v>44</v>
      </c>
      <c r="G13" s="140"/>
      <c r="H13" s="42">
        <v>0.2</v>
      </c>
      <c r="I13" s="41" t="s">
        <v>35</v>
      </c>
      <c r="J13" s="41"/>
      <c r="K13" s="38"/>
      <c r="L13" s="43"/>
      <c r="P13" s="43"/>
    </row>
    <row r="14" spans="2:16" ht="16.5" customHeight="1" x14ac:dyDescent="0.25">
      <c r="C14" s="36" t="s">
        <v>167</v>
      </c>
      <c r="D14" s="44">
        <v>6</v>
      </c>
      <c r="E14" s="44"/>
      <c r="F14" s="44"/>
      <c r="G14" s="44"/>
      <c r="H14" s="28" t="s">
        <v>45</v>
      </c>
      <c r="I14" s="44"/>
      <c r="J14" s="44"/>
      <c r="M14" s="39"/>
      <c r="N14" s="63"/>
      <c r="O14" s="63"/>
      <c r="P14" s="63"/>
    </row>
    <row r="15" spans="2:16" ht="6" customHeight="1" x14ac:dyDescent="0.25">
      <c r="K15" s="62"/>
      <c r="M15" s="63"/>
      <c r="N15" s="63"/>
      <c r="O15" s="63"/>
      <c r="P15" s="63"/>
    </row>
    <row r="16" spans="2:16" ht="33.75" customHeight="1" x14ac:dyDescent="0.25">
      <c r="B16" s="128" t="s">
        <v>86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</row>
    <row r="17" spans="2:16" ht="56.25" customHeight="1" x14ac:dyDescent="0.25">
      <c r="B17" s="45" t="s">
        <v>46</v>
      </c>
      <c r="C17" s="46" t="s">
        <v>47</v>
      </c>
      <c r="D17" s="129" t="s">
        <v>48</v>
      </c>
      <c r="E17" s="129"/>
      <c r="F17" s="129"/>
      <c r="G17" s="129"/>
      <c r="H17" s="129"/>
      <c r="I17" s="129"/>
      <c r="J17" s="129"/>
      <c r="K17" s="47" t="s">
        <v>49</v>
      </c>
      <c r="L17" s="47" t="s">
        <v>50</v>
      </c>
      <c r="M17" s="47" t="s">
        <v>51</v>
      </c>
      <c r="N17" s="47" t="s">
        <v>52</v>
      </c>
      <c r="O17" s="47" t="s">
        <v>53</v>
      </c>
      <c r="P17" s="47" t="s">
        <v>54</v>
      </c>
    </row>
    <row r="18" spans="2:16" ht="24" customHeight="1" x14ac:dyDescent="0.25">
      <c r="B18" s="126" t="s">
        <v>58</v>
      </c>
      <c r="C18" s="130" t="s">
        <v>168</v>
      </c>
      <c r="D18" s="131" t="s">
        <v>55</v>
      </c>
      <c r="E18" s="133">
        <v>0</v>
      </c>
      <c r="F18" s="133">
        <v>0</v>
      </c>
      <c r="G18" s="126" t="s">
        <v>56</v>
      </c>
      <c r="H18" s="131" t="s">
        <v>55</v>
      </c>
      <c r="I18" s="135">
        <v>263</v>
      </c>
      <c r="J18" s="133">
        <v>8</v>
      </c>
      <c r="K18" s="137">
        <f>ROUND((I18-E18)*$D$13+J18-F18,2)</f>
        <v>5268</v>
      </c>
      <c r="L18" s="126">
        <f>ROUND(K18*$D$14*(1+$D$12)*$H$13,2)</f>
        <v>7585.92</v>
      </c>
      <c r="M18" s="126">
        <f>L18*$H$12</f>
        <v>13275.36</v>
      </c>
      <c r="N18" s="133">
        <v>4.99</v>
      </c>
      <c r="O18" s="126">
        <f>ROUND(K18/2000,4)</f>
        <v>2.6339999999999999</v>
      </c>
      <c r="P18" s="126">
        <f>ROUND(M18*(O18+N18),2)</f>
        <v>101211.34</v>
      </c>
    </row>
    <row r="19" spans="2:16" ht="12.75" customHeight="1" x14ac:dyDescent="0.25">
      <c r="B19" s="127"/>
      <c r="C19" s="127"/>
      <c r="D19" s="132"/>
      <c r="E19" s="134"/>
      <c r="F19" s="134"/>
      <c r="G19" s="127"/>
      <c r="H19" s="132"/>
      <c r="I19" s="136"/>
      <c r="J19" s="134"/>
      <c r="K19" s="138"/>
      <c r="L19" s="127"/>
      <c r="M19" s="127"/>
      <c r="N19" s="134"/>
      <c r="O19" s="127"/>
      <c r="P19" s="127"/>
    </row>
    <row r="20" spans="2:16" ht="8.25" customHeight="1" x14ac:dyDescent="0.25">
      <c r="B20" s="26"/>
      <c r="C20" s="26"/>
      <c r="D20" s="48"/>
      <c r="E20" s="49"/>
      <c r="F20" s="50"/>
      <c r="G20" s="26"/>
      <c r="H20" s="48"/>
      <c r="I20" s="49"/>
      <c r="J20" s="51"/>
      <c r="K20" s="52"/>
      <c r="L20" s="26"/>
      <c r="M20" s="26"/>
      <c r="N20" s="26"/>
      <c r="O20" s="26"/>
      <c r="P20" s="26"/>
    </row>
    <row r="21" spans="2:16" x14ac:dyDescent="0.25">
      <c r="L21" s="53" t="s">
        <v>61</v>
      </c>
      <c r="M21" s="54">
        <f>ROUND(SUM(P18:P19)/SUM(M18:M19),2)</f>
        <v>7.62</v>
      </c>
      <c r="N21" s="55" t="s">
        <v>57</v>
      </c>
      <c r="O21" s="56"/>
    </row>
    <row r="22" spans="2:16" x14ac:dyDescent="0.25">
      <c r="L22" s="53"/>
      <c r="M22" s="54"/>
      <c r="N22" s="55"/>
      <c r="O22" s="56"/>
    </row>
    <row r="23" spans="2:16" ht="33.75" customHeight="1" x14ac:dyDescent="0.25">
      <c r="B23" s="128" t="s">
        <v>87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</row>
    <row r="24" spans="2:16" ht="36" x14ac:dyDescent="0.25">
      <c r="B24" s="79" t="s">
        <v>46</v>
      </c>
      <c r="C24" s="46" t="s">
        <v>47</v>
      </c>
      <c r="D24" s="129" t="s">
        <v>48</v>
      </c>
      <c r="E24" s="129"/>
      <c r="F24" s="129"/>
      <c r="G24" s="129"/>
      <c r="H24" s="129"/>
      <c r="I24" s="129"/>
      <c r="J24" s="129"/>
      <c r="K24" s="47" t="s">
        <v>49</v>
      </c>
      <c r="L24" s="47" t="s">
        <v>50</v>
      </c>
      <c r="M24" s="47" t="s">
        <v>51</v>
      </c>
      <c r="N24" s="47" t="s">
        <v>52</v>
      </c>
      <c r="O24" s="47" t="s">
        <v>53</v>
      </c>
      <c r="P24" s="47" t="s">
        <v>54</v>
      </c>
    </row>
    <row r="25" spans="2:16" ht="24.75" customHeight="1" x14ac:dyDescent="0.25">
      <c r="B25" s="126" t="s">
        <v>90</v>
      </c>
      <c r="C25" s="130" t="s">
        <v>157</v>
      </c>
      <c r="D25" s="81" t="s">
        <v>55</v>
      </c>
      <c r="E25" s="82">
        <v>0</v>
      </c>
      <c r="F25" s="82">
        <v>0</v>
      </c>
      <c r="G25" s="83" t="s">
        <v>56</v>
      </c>
      <c r="H25" s="81" t="s">
        <v>55</v>
      </c>
      <c r="I25" s="84">
        <v>44</v>
      </c>
      <c r="J25" s="82">
        <v>0</v>
      </c>
      <c r="K25" s="85">
        <f t="shared" ref="K25:K26" si="0">ROUND((I25-E25)*$D$13+J25-F25,2)</f>
        <v>880</v>
      </c>
      <c r="L25" s="83">
        <f t="shared" ref="L25:L26" si="1">ROUND(K25*$D$14*(1+$D$12)*$H$13,2)</f>
        <v>1267.2</v>
      </c>
      <c r="M25" s="83">
        <f t="shared" ref="M25:M26" si="2">L25*$H$12</f>
        <v>2217.6</v>
      </c>
      <c r="N25" s="83">
        <v>0.1</v>
      </c>
      <c r="O25" s="83">
        <f>ROUND(K25/2000,3)</f>
        <v>0.44</v>
      </c>
      <c r="P25" s="83">
        <f t="shared" ref="P25:P26" si="3">ROUND(M25*(O25+N25),2)</f>
        <v>1197.5</v>
      </c>
    </row>
    <row r="26" spans="2:16" ht="28.5" customHeight="1" x14ac:dyDescent="0.25">
      <c r="B26" s="127"/>
      <c r="C26" s="127"/>
      <c r="D26" s="81" t="s">
        <v>55</v>
      </c>
      <c r="E26" s="84">
        <v>44</v>
      </c>
      <c r="F26" s="82">
        <v>0</v>
      </c>
      <c r="G26" s="83" t="s">
        <v>56</v>
      </c>
      <c r="H26" s="81" t="s">
        <v>55</v>
      </c>
      <c r="I26" s="84">
        <v>446</v>
      </c>
      <c r="J26" s="82">
        <v>0</v>
      </c>
      <c r="K26" s="85">
        <f t="shared" si="0"/>
        <v>8040</v>
      </c>
      <c r="L26" s="83">
        <f t="shared" si="1"/>
        <v>11577.6</v>
      </c>
      <c r="M26" s="83">
        <f t="shared" si="2"/>
        <v>20260.8</v>
      </c>
      <c r="N26" s="83">
        <v>0.1</v>
      </c>
      <c r="O26" s="83">
        <f>ROUND(K26/2000,3)</f>
        <v>4.0199999999999996</v>
      </c>
      <c r="P26" s="83">
        <f t="shared" si="3"/>
        <v>83474.5</v>
      </c>
    </row>
    <row r="27" spans="2:16" ht="3.75" customHeight="1" x14ac:dyDescent="0.25"/>
    <row r="28" spans="2:16" x14ac:dyDescent="0.25">
      <c r="L28" s="53" t="s">
        <v>101</v>
      </c>
      <c r="M28" s="54">
        <f>ROUND(SUM(P25:P26)/SUM(M25:M26),2)</f>
        <v>3.77</v>
      </c>
      <c r="N28" s="55" t="s">
        <v>57</v>
      </c>
    </row>
    <row r="29" spans="2:16" x14ac:dyDescent="0.25">
      <c r="L29" s="53"/>
      <c r="M29" s="54"/>
      <c r="N29" s="55"/>
      <c r="O29" s="56"/>
    </row>
    <row r="30" spans="2:16" ht="33.75" customHeight="1" x14ac:dyDescent="0.25">
      <c r="B30" s="128" t="s">
        <v>85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</row>
    <row r="31" spans="2:16" ht="54.75" customHeight="1" x14ac:dyDescent="0.25">
      <c r="B31" s="73" t="s">
        <v>46</v>
      </c>
      <c r="C31" s="46" t="s">
        <v>47</v>
      </c>
      <c r="D31" s="129" t="s">
        <v>48</v>
      </c>
      <c r="E31" s="129"/>
      <c r="F31" s="129"/>
      <c r="G31" s="129"/>
      <c r="H31" s="129"/>
      <c r="I31" s="129"/>
      <c r="J31" s="129"/>
      <c r="K31" s="47" t="s">
        <v>49</v>
      </c>
      <c r="L31" s="47" t="s">
        <v>50</v>
      </c>
      <c r="M31" s="47" t="s">
        <v>51</v>
      </c>
      <c r="N31" s="47" t="s">
        <v>52</v>
      </c>
      <c r="O31" s="47" t="s">
        <v>53</v>
      </c>
      <c r="P31" s="47" t="s">
        <v>54</v>
      </c>
    </row>
    <row r="32" spans="2:16" ht="24" customHeight="1" x14ac:dyDescent="0.25">
      <c r="B32" s="126" t="s">
        <v>137</v>
      </c>
      <c r="C32" s="130" t="s">
        <v>156</v>
      </c>
      <c r="D32" s="131" t="s">
        <v>55</v>
      </c>
      <c r="E32" s="133">
        <v>0</v>
      </c>
      <c r="F32" s="133">
        <v>0</v>
      </c>
      <c r="G32" s="126" t="s">
        <v>56</v>
      </c>
      <c r="H32" s="131" t="s">
        <v>55</v>
      </c>
      <c r="I32" s="135">
        <v>614</v>
      </c>
      <c r="J32" s="133">
        <v>0</v>
      </c>
      <c r="K32" s="137">
        <f>ROUND((I32-E32)*$D$13+J32-F32,2)</f>
        <v>12280</v>
      </c>
      <c r="L32" s="126">
        <f>ROUND(K32*$D$14*(1+$D$12)*$H$13,2)</f>
        <v>17683.2</v>
      </c>
      <c r="M32" s="126">
        <f>L32*$H$12</f>
        <v>30945.600000000002</v>
      </c>
      <c r="N32" s="133">
        <v>3.71</v>
      </c>
      <c r="O32" s="126">
        <f>ROUND(K32/2000,4)</f>
        <v>6.14</v>
      </c>
      <c r="P32" s="126">
        <f>ROUND(M32*(O32+N32),2)</f>
        <v>304814.15999999997</v>
      </c>
    </row>
    <row r="33" spans="2:16" ht="17.25" customHeight="1" x14ac:dyDescent="0.25">
      <c r="B33" s="127"/>
      <c r="C33" s="127"/>
      <c r="D33" s="132"/>
      <c r="E33" s="134"/>
      <c r="F33" s="134"/>
      <c r="G33" s="127"/>
      <c r="H33" s="132"/>
      <c r="I33" s="136"/>
      <c r="J33" s="134"/>
      <c r="K33" s="138"/>
      <c r="L33" s="127"/>
      <c r="M33" s="127"/>
      <c r="N33" s="134"/>
      <c r="O33" s="127"/>
      <c r="P33" s="127"/>
    </row>
    <row r="34" spans="2:16" ht="6.75" customHeight="1" x14ac:dyDescent="0.25">
      <c r="B34" s="71"/>
      <c r="C34" s="71"/>
      <c r="D34" s="48"/>
      <c r="E34" s="49"/>
      <c r="F34" s="50"/>
      <c r="G34" s="71"/>
      <c r="H34" s="48"/>
      <c r="I34" s="49"/>
      <c r="J34" s="51"/>
      <c r="K34" s="52"/>
      <c r="L34" s="71"/>
      <c r="M34" s="71"/>
      <c r="N34" s="71"/>
      <c r="O34" s="71"/>
      <c r="P34" s="71"/>
    </row>
    <row r="35" spans="2:16" x14ac:dyDescent="0.25">
      <c r="L35" s="53" t="s">
        <v>91</v>
      </c>
      <c r="M35" s="54">
        <f>ROUND(SUM(P32:P33)/SUM(M32:M33),2)</f>
        <v>9.85</v>
      </c>
      <c r="N35" s="55" t="s">
        <v>57</v>
      </c>
      <c r="O35" s="56"/>
    </row>
    <row r="36" spans="2:16" ht="15.75" customHeight="1" x14ac:dyDescent="0.25"/>
    <row r="37" spans="2:16" ht="33.75" customHeight="1" x14ac:dyDescent="0.25">
      <c r="B37" s="128" t="s">
        <v>102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</row>
    <row r="38" spans="2:16" ht="57" customHeight="1" x14ac:dyDescent="0.25">
      <c r="B38" s="75" t="s">
        <v>46</v>
      </c>
      <c r="C38" s="46" t="s">
        <v>47</v>
      </c>
      <c r="D38" s="129" t="s">
        <v>48</v>
      </c>
      <c r="E38" s="129"/>
      <c r="F38" s="129"/>
      <c r="G38" s="129"/>
      <c r="H38" s="129"/>
      <c r="I38" s="129"/>
      <c r="J38" s="129"/>
      <c r="K38" s="47" t="s">
        <v>49</v>
      </c>
      <c r="L38" s="47" t="s">
        <v>50</v>
      </c>
      <c r="M38" s="47" t="s">
        <v>51</v>
      </c>
      <c r="N38" s="47" t="s">
        <v>52</v>
      </c>
      <c r="O38" s="47" t="s">
        <v>53</v>
      </c>
      <c r="P38" s="47" t="s">
        <v>54</v>
      </c>
    </row>
    <row r="39" spans="2:16" ht="15.75" customHeight="1" x14ac:dyDescent="0.25">
      <c r="B39" s="126" t="s">
        <v>138</v>
      </c>
      <c r="C39" s="130" t="s">
        <v>158</v>
      </c>
      <c r="D39" s="131" t="s">
        <v>55</v>
      </c>
      <c r="E39" s="133">
        <v>0</v>
      </c>
      <c r="F39" s="133">
        <v>0</v>
      </c>
      <c r="G39" s="126" t="s">
        <v>56</v>
      </c>
      <c r="H39" s="131" t="s">
        <v>55</v>
      </c>
      <c r="I39" s="135">
        <v>253</v>
      </c>
      <c r="J39" s="133">
        <v>12.5</v>
      </c>
      <c r="K39" s="137">
        <f>ROUND((I39-E39)*$D$13+J39-F39,2)</f>
        <v>5072.5</v>
      </c>
      <c r="L39" s="126">
        <f>ROUND(K39*$D$14*(1+$D$12)*$H$13,2)</f>
        <v>7304.4</v>
      </c>
      <c r="M39" s="126">
        <f>L39*$H$12</f>
        <v>12782.699999999999</v>
      </c>
      <c r="N39" s="133">
        <v>5.97</v>
      </c>
      <c r="O39" s="126">
        <f>ROUND(K39/2000,4)</f>
        <v>2.5363000000000002</v>
      </c>
      <c r="P39" s="126">
        <f>ROUND(M39*(O39+N39),2)</f>
        <v>108733.48</v>
      </c>
    </row>
    <row r="40" spans="2:16" ht="21.75" customHeight="1" x14ac:dyDescent="0.25">
      <c r="B40" s="127"/>
      <c r="C40" s="127"/>
      <c r="D40" s="132"/>
      <c r="E40" s="134"/>
      <c r="F40" s="134"/>
      <c r="G40" s="127"/>
      <c r="H40" s="132"/>
      <c r="I40" s="136"/>
      <c r="J40" s="134"/>
      <c r="K40" s="138"/>
      <c r="L40" s="127"/>
      <c r="M40" s="127"/>
      <c r="N40" s="134"/>
      <c r="O40" s="127"/>
      <c r="P40" s="127"/>
    </row>
    <row r="41" spans="2:16" ht="10.5" customHeight="1" x14ac:dyDescent="0.25">
      <c r="B41" s="74"/>
      <c r="C41" s="74"/>
      <c r="D41" s="48"/>
      <c r="E41" s="49"/>
      <c r="F41" s="50"/>
      <c r="G41" s="74"/>
      <c r="H41" s="48"/>
      <c r="I41" s="49"/>
      <c r="J41" s="51"/>
      <c r="K41" s="52"/>
      <c r="L41" s="74"/>
      <c r="M41" s="74"/>
      <c r="N41" s="74"/>
      <c r="O41" s="74"/>
      <c r="P41" s="74"/>
    </row>
    <row r="42" spans="2:16" ht="15.75" customHeight="1" x14ac:dyDescent="0.25">
      <c r="L42" s="53" t="s">
        <v>139</v>
      </c>
      <c r="M42" s="54">
        <f>ROUND(SUM(P39:P40)/SUM(M39:M40),2)</f>
        <v>8.51</v>
      </c>
      <c r="N42" s="55" t="s">
        <v>57</v>
      </c>
      <c r="O42" s="56"/>
    </row>
    <row r="43" spans="2:16" ht="15.75" customHeight="1" x14ac:dyDescent="0.25"/>
    <row r="44" spans="2:16" ht="33.75" customHeight="1" x14ac:dyDescent="0.25">
      <c r="B44" s="128" t="s">
        <v>103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</row>
    <row r="45" spans="2:16" ht="36" x14ac:dyDescent="0.25">
      <c r="B45" s="79" t="s">
        <v>46</v>
      </c>
      <c r="C45" s="46" t="s">
        <v>47</v>
      </c>
      <c r="D45" s="129" t="s">
        <v>48</v>
      </c>
      <c r="E45" s="129"/>
      <c r="F45" s="129"/>
      <c r="G45" s="129"/>
      <c r="H45" s="129"/>
      <c r="I45" s="129"/>
      <c r="J45" s="129"/>
      <c r="K45" s="47" t="s">
        <v>49</v>
      </c>
      <c r="L45" s="47" t="s">
        <v>50</v>
      </c>
      <c r="M45" s="47" t="s">
        <v>51</v>
      </c>
      <c r="N45" s="47" t="s">
        <v>52</v>
      </c>
      <c r="O45" s="47" t="s">
        <v>53</v>
      </c>
      <c r="P45" s="47" t="s">
        <v>54</v>
      </c>
    </row>
    <row r="46" spans="2:16" ht="24.75" customHeight="1" x14ac:dyDescent="0.25">
      <c r="B46" s="126" t="s">
        <v>140</v>
      </c>
      <c r="C46" s="130" t="s">
        <v>159</v>
      </c>
      <c r="D46" s="81" t="s">
        <v>55</v>
      </c>
      <c r="E46" s="82">
        <v>0</v>
      </c>
      <c r="F46" s="82">
        <v>0</v>
      </c>
      <c r="G46" s="83" t="s">
        <v>56</v>
      </c>
      <c r="H46" s="81" t="s">
        <v>55</v>
      </c>
      <c r="I46" s="84">
        <v>21</v>
      </c>
      <c r="J46" s="82">
        <v>0</v>
      </c>
      <c r="K46" s="85">
        <f t="shared" ref="K46:K47" si="4">ROUND((I46-E46)*$D$13+J46-F46,2)</f>
        <v>420</v>
      </c>
      <c r="L46" s="83">
        <f t="shared" ref="L46:L47" si="5">ROUND(K46*$D$14*(1+$D$12)*$H$13,2)</f>
        <v>604.79999999999995</v>
      </c>
      <c r="M46" s="83">
        <f t="shared" ref="M46:M47" si="6">L46*$H$12</f>
        <v>1058.3999999999999</v>
      </c>
      <c r="N46" s="83">
        <v>0.55000000000000004</v>
      </c>
      <c r="O46" s="83">
        <f>ROUND(K46/2000,3)</f>
        <v>0.21</v>
      </c>
      <c r="P46" s="83">
        <f t="shared" ref="P46:P47" si="7">ROUND(M46*(O46+N46),2)</f>
        <v>804.38</v>
      </c>
    </row>
    <row r="47" spans="2:16" ht="28.5" customHeight="1" x14ac:dyDescent="0.25">
      <c r="B47" s="127"/>
      <c r="C47" s="127"/>
      <c r="D47" s="81" t="s">
        <v>55</v>
      </c>
      <c r="E47" s="84">
        <v>21</v>
      </c>
      <c r="F47" s="82">
        <v>0</v>
      </c>
      <c r="G47" s="83" t="s">
        <v>56</v>
      </c>
      <c r="H47" s="81" t="s">
        <v>55</v>
      </c>
      <c r="I47" s="84">
        <v>296</v>
      </c>
      <c r="J47" s="82">
        <v>4</v>
      </c>
      <c r="K47" s="85">
        <f t="shared" si="4"/>
        <v>5504</v>
      </c>
      <c r="L47" s="83">
        <f t="shared" si="5"/>
        <v>7925.76</v>
      </c>
      <c r="M47" s="83">
        <f t="shared" si="6"/>
        <v>13870.08</v>
      </c>
      <c r="N47" s="83">
        <v>0.55000000000000004</v>
      </c>
      <c r="O47" s="83">
        <f>ROUND(K47/2000,3)</f>
        <v>2.7519999999999998</v>
      </c>
      <c r="P47" s="83">
        <f t="shared" si="7"/>
        <v>45799</v>
      </c>
    </row>
    <row r="48" spans="2:16" ht="3.75" customHeight="1" x14ac:dyDescent="0.25"/>
    <row r="49" spans="2:16" x14ac:dyDescent="0.25">
      <c r="L49" s="53" t="s">
        <v>142</v>
      </c>
      <c r="M49" s="54">
        <f>ROUND(SUM(P46:P47)/SUM(M46:M47),2)</f>
        <v>3.12</v>
      </c>
      <c r="N49" s="55" t="s">
        <v>57</v>
      </c>
    </row>
    <row r="50" spans="2:16" ht="15.75" customHeight="1" x14ac:dyDescent="0.25"/>
    <row r="51" spans="2:16" ht="33.75" customHeight="1" x14ac:dyDescent="0.25">
      <c r="B51" s="128" t="s">
        <v>104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</row>
    <row r="52" spans="2:16" ht="57" customHeight="1" x14ac:dyDescent="0.25">
      <c r="B52" s="79" t="s">
        <v>46</v>
      </c>
      <c r="C52" s="46" t="s">
        <v>47</v>
      </c>
      <c r="D52" s="129" t="s">
        <v>48</v>
      </c>
      <c r="E52" s="129"/>
      <c r="F52" s="129"/>
      <c r="G52" s="129"/>
      <c r="H52" s="129"/>
      <c r="I52" s="129"/>
      <c r="J52" s="129"/>
      <c r="K52" s="47" t="s">
        <v>49</v>
      </c>
      <c r="L52" s="47" t="s">
        <v>50</v>
      </c>
      <c r="M52" s="47" t="s">
        <v>51</v>
      </c>
      <c r="N52" s="47" t="s">
        <v>52</v>
      </c>
      <c r="O52" s="47" t="s">
        <v>53</v>
      </c>
      <c r="P52" s="47" t="s">
        <v>54</v>
      </c>
    </row>
    <row r="53" spans="2:16" ht="15.75" customHeight="1" x14ac:dyDescent="0.25">
      <c r="B53" s="126" t="s">
        <v>141</v>
      </c>
      <c r="C53" s="130" t="s">
        <v>159</v>
      </c>
      <c r="D53" s="131" t="s">
        <v>55</v>
      </c>
      <c r="E53" s="133">
        <v>0</v>
      </c>
      <c r="F53" s="133">
        <v>0</v>
      </c>
      <c r="G53" s="126" t="s">
        <v>56</v>
      </c>
      <c r="H53" s="131" t="s">
        <v>55</v>
      </c>
      <c r="I53" s="135">
        <v>500</v>
      </c>
      <c r="J53" s="133">
        <v>16</v>
      </c>
      <c r="K53" s="137">
        <f>ROUND((I53-E53)*$D$13+J53-F53,2)</f>
        <v>10016</v>
      </c>
      <c r="L53" s="126">
        <f>ROUND(K53*$D$14*(1+$D$12)*$H$13,2)</f>
        <v>14423.04</v>
      </c>
      <c r="M53" s="126">
        <f>L53*$H$12</f>
        <v>25240.32</v>
      </c>
      <c r="N53" s="133">
        <v>1.58</v>
      </c>
      <c r="O53" s="126">
        <f>ROUND(K53/2000,4)</f>
        <v>5.008</v>
      </c>
      <c r="P53" s="126">
        <f>ROUND(M53*(O53+N53),2)</f>
        <v>166283.23000000001</v>
      </c>
    </row>
    <row r="54" spans="2:16" ht="21.75" customHeight="1" x14ac:dyDescent="0.25">
      <c r="B54" s="127"/>
      <c r="C54" s="127"/>
      <c r="D54" s="132"/>
      <c r="E54" s="134"/>
      <c r="F54" s="134"/>
      <c r="G54" s="127"/>
      <c r="H54" s="132"/>
      <c r="I54" s="136"/>
      <c r="J54" s="134"/>
      <c r="K54" s="138"/>
      <c r="L54" s="127"/>
      <c r="M54" s="127"/>
      <c r="N54" s="134"/>
      <c r="O54" s="127"/>
      <c r="P54" s="127"/>
    </row>
    <row r="55" spans="2:16" ht="10.5" customHeight="1" x14ac:dyDescent="0.25">
      <c r="B55" s="78"/>
      <c r="C55" s="78"/>
      <c r="D55" s="48"/>
      <c r="E55" s="49"/>
      <c r="F55" s="50"/>
      <c r="G55" s="78"/>
      <c r="H55" s="48"/>
      <c r="I55" s="49"/>
      <c r="J55" s="51"/>
      <c r="K55" s="52"/>
      <c r="L55" s="78"/>
      <c r="M55" s="78"/>
      <c r="N55" s="78"/>
      <c r="O55" s="78"/>
      <c r="P55" s="78"/>
    </row>
    <row r="56" spans="2:16" ht="15.75" customHeight="1" x14ac:dyDescent="0.25">
      <c r="L56" s="53" t="s">
        <v>143</v>
      </c>
      <c r="M56" s="54">
        <f>ROUND(SUM(P53:P54)/SUM(M53:M54),2)</f>
        <v>6.59</v>
      </c>
      <c r="N56" s="55" t="s">
        <v>57</v>
      </c>
      <c r="O56" s="56"/>
    </row>
    <row r="57" spans="2:16" ht="15.75" customHeight="1" x14ac:dyDescent="0.25"/>
    <row r="58" spans="2:16" ht="33.75" customHeight="1" x14ac:dyDescent="0.25">
      <c r="B58" s="128" t="s">
        <v>105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</row>
    <row r="59" spans="2:16" ht="57" customHeight="1" x14ac:dyDescent="0.25">
      <c r="B59" s="79" t="s">
        <v>46</v>
      </c>
      <c r="C59" s="46" t="s">
        <v>47</v>
      </c>
      <c r="D59" s="129" t="s">
        <v>48</v>
      </c>
      <c r="E59" s="129"/>
      <c r="F59" s="129"/>
      <c r="G59" s="129"/>
      <c r="H59" s="129"/>
      <c r="I59" s="129"/>
      <c r="J59" s="129"/>
      <c r="K59" s="47" t="s">
        <v>49</v>
      </c>
      <c r="L59" s="47" t="s">
        <v>50</v>
      </c>
      <c r="M59" s="47" t="s">
        <v>51</v>
      </c>
      <c r="N59" s="47" t="s">
        <v>52</v>
      </c>
      <c r="O59" s="47" t="s">
        <v>53</v>
      </c>
      <c r="P59" s="47" t="s">
        <v>54</v>
      </c>
    </row>
    <row r="60" spans="2:16" ht="15.75" customHeight="1" x14ac:dyDescent="0.25">
      <c r="B60" s="126" t="s">
        <v>144</v>
      </c>
      <c r="C60" s="130" t="s">
        <v>160</v>
      </c>
      <c r="D60" s="131" t="s">
        <v>55</v>
      </c>
      <c r="E60" s="133">
        <v>0</v>
      </c>
      <c r="F60" s="133">
        <v>0</v>
      </c>
      <c r="G60" s="126" t="s">
        <v>56</v>
      </c>
      <c r="H60" s="131" t="s">
        <v>55</v>
      </c>
      <c r="I60" s="135">
        <v>30</v>
      </c>
      <c r="J60" s="133">
        <v>10</v>
      </c>
      <c r="K60" s="137">
        <f>ROUND((I60-E60)*$D$13+J60-F60,2)</f>
        <v>610</v>
      </c>
      <c r="L60" s="126">
        <f>ROUND(K60*$D$14*(1+$D$12)*$H$13,2)</f>
        <v>878.4</v>
      </c>
      <c r="M60" s="126">
        <f>L60*$H$12</f>
        <v>1537.2</v>
      </c>
      <c r="N60" s="133">
        <v>3.74</v>
      </c>
      <c r="O60" s="126">
        <f>ROUND(K60/2000,4)</f>
        <v>0.30499999999999999</v>
      </c>
      <c r="P60" s="126">
        <f>ROUND(M60*(O60+N60),2)</f>
        <v>6217.97</v>
      </c>
    </row>
    <row r="61" spans="2:16" ht="21.75" customHeight="1" x14ac:dyDescent="0.25">
      <c r="B61" s="127"/>
      <c r="C61" s="139"/>
      <c r="D61" s="132"/>
      <c r="E61" s="134"/>
      <c r="F61" s="134"/>
      <c r="G61" s="127"/>
      <c r="H61" s="132"/>
      <c r="I61" s="136"/>
      <c r="J61" s="134"/>
      <c r="K61" s="138"/>
      <c r="L61" s="127"/>
      <c r="M61" s="127"/>
      <c r="N61" s="134"/>
      <c r="O61" s="127"/>
      <c r="P61" s="127"/>
    </row>
    <row r="62" spans="2:16" ht="10.5" customHeight="1" x14ac:dyDescent="0.25">
      <c r="B62" s="78"/>
      <c r="C62" s="78"/>
      <c r="D62" s="48"/>
      <c r="E62" s="49"/>
      <c r="F62" s="50"/>
      <c r="G62" s="78"/>
      <c r="H62" s="48"/>
      <c r="I62" s="49"/>
      <c r="J62" s="51"/>
      <c r="K62" s="52"/>
      <c r="L62" s="78"/>
      <c r="M62" s="78"/>
      <c r="N62" s="78"/>
      <c r="O62" s="78"/>
      <c r="P62" s="78"/>
    </row>
    <row r="63" spans="2:16" ht="15.75" customHeight="1" x14ac:dyDescent="0.25">
      <c r="L63" s="53" t="s">
        <v>145</v>
      </c>
      <c r="M63" s="54">
        <f>ROUND(SUM(P60:P61)/SUM(M60:M61),2)</f>
        <v>4.04</v>
      </c>
      <c r="N63" s="55" t="s">
        <v>57</v>
      </c>
      <c r="O63" s="56"/>
    </row>
    <row r="64" spans="2:16" ht="15.75" customHeight="1" x14ac:dyDescent="0.25"/>
    <row r="65" spans="2:16" ht="33.75" customHeight="1" x14ac:dyDescent="0.25">
      <c r="B65" s="128" t="s">
        <v>106</v>
      </c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</row>
    <row r="66" spans="2:16" ht="57" customHeight="1" x14ac:dyDescent="0.25">
      <c r="B66" s="79" t="s">
        <v>46</v>
      </c>
      <c r="C66" s="46" t="s">
        <v>47</v>
      </c>
      <c r="D66" s="129" t="s">
        <v>48</v>
      </c>
      <c r="E66" s="129"/>
      <c r="F66" s="129"/>
      <c r="G66" s="129"/>
      <c r="H66" s="129"/>
      <c r="I66" s="129"/>
      <c r="J66" s="129"/>
      <c r="K66" s="47" t="s">
        <v>49</v>
      </c>
      <c r="L66" s="47" t="s">
        <v>50</v>
      </c>
      <c r="M66" s="47" t="s">
        <v>51</v>
      </c>
      <c r="N66" s="47" t="s">
        <v>52</v>
      </c>
      <c r="O66" s="47" t="s">
        <v>53</v>
      </c>
      <c r="P66" s="47" t="s">
        <v>54</v>
      </c>
    </row>
    <row r="67" spans="2:16" ht="15.75" customHeight="1" x14ac:dyDescent="0.25">
      <c r="B67" s="126" t="s">
        <v>146</v>
      </c>
      <c r="C67" s="130" t="s">
        <v>160</v>
      </c>
      <c r="D67" s="131" t="s">
        <v>55</v>
      </c>
      <c r="E67" s="133">
        <v>0</v>
      </c>
      <c r="F67" s="133">
        <v>0</v>
      </c>
      <c r="G67" s="126" t="s">
        <v>56</v>
      </c>
      <c r="H67" s="131" t="s">
        <v>55</v>
      </c>
      <c r="I67" s="135">
        <v>178</v>
      </c>
      <c r="J67" s="133">
        <v>9</v>
      </c>
      <c r="K67" s="137">
        <f>ROUND((I67-E67)*$D$13+J67-F67,2)</f>
        <v>3569</v>
      </c>
      <c r="L67" s="126">
        <f>ROUND(K67*$D$14*(1+$D$12)*$H$13,2)</f>
        <v>5139.3599999999997</v>
      </c>
      <c r="M67" s="126">
        <f>L67*$H$12</f>
        <v>8993.8799999999992</v>
      </c>
      <c r="N67" s="133">
        <v>5</v>
      </c>
      <c r="O67" s="126">
        <f>ROUND(K67/2000,4)</f>
        <v>1.7845</v>
      </c>
      <c r="P67" s="126">
        <f>ROUND(M67*(O67+N67),2)</f>
        <v>61018.98</v>
      </c>
    </row>
    <row r="68" spans="2:16" ht="21.75" customHeight="1" x14ac:dyDescent="0.25">
      <c r="B68" s="127"/>
      <c r="C68" s="139"/>
      <c r="D68" s="132"/>
      <c r="E68" s="134"/>
      <c r="F68" s="134"/>
      <c r="G68" s="127"/>
      <c r="H68" s="132"/>
      <c r="I68" s="136"/>
      <c r="J68" s="134"/>
      <c r="K68" s="138"/>
      <c r="L68" s="127"/>
      <c r="M68" s="127"/>
      <c r="N68" s="134"/>
      <c r="O68" s="127"/>
      <c r="P68" s="127"/>
    </row>
    <row r="69" spans="2:16" ht="10.5" customHeight="1" x14ac:dyDescent="0.25">
      <c r="B69" s="78"/>
      <c r="C69" s="78"/>
      <c r="D69" s="48"/>
      <c r="E69" s="49"/>
      <c r="F69" s="50"/>
      <c r="G69" s="78"/>
      <c r="H69" s="48"/>
      <c r="I69" s="49"/>
      <c r="J69" s="51"/>
      <c r="K69" s="52"/>
      <c r="L69" s="78"/>
      <c r="M69" s="78"/>
      <c r="N69" s="78"/>
      <c r="O69" s="78"/>
      <c r="P69" s="78"/>
    </row>
    <row r="70" spans="2:16" ht="15.75" customHeight="1" x14ac:dyDescent="0.25">
      <c r="L70" s="53" t="s">
        <v>149</v>
      </c>
      <c r="M70" s="54">
        <f>ROUND(SUM(P67:P68)/SUM(M67:M68),2)</f>
        <v>6.78</v>
      </c>
      <c r="N70" s="55" t="s">
        <v>57</v>
      </c>
      <c r="O70" s="56"/>
    </row>
    <row r="71" spans="2:16" ht="15.75" customHeight="1" x14ac:dyDescent="0.25"/>
    <row r="72" spans="2:16" ht="33.75" customHeight="1" x14ac:dyDescent="0.25">
      <c r="B72" s="128" t="s">
        <v>107</v>
      </c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</row>
    <row r="73" spans="2:16" ht="57" customHeight="1" x14ac:dyDescent="0.25">
      <c r="B73" s="79" t="s">
        <v>46</v>
      </c>
      <c r="C73" s="46" t="s">
        <v>47</v>
      </c>
      <c r="D73" s="129" t="s">
        <v>48</v>
      </c>
      <c r="E73" s="129"/>
      <c r="F73" s="129"/>
      <c r="G73" s="129"/>
      <c r="H73" s="129"/>
      <c r="I73" s="129"/>
      <c r="J73" s="129"/>
      <c r="K73" s="47" t="s">
        <v>49</v>
      </c>
      <c r="L73" s="47" t="s">
        <v>50</v>
      </c>
      <c r="M73" s="47" t="s">
        <v>51</v>
      </c>
      <c r="N73" s="47" t="s">
        <v>52</v>
      </c>
      <c r="O73" s="47" t="s">
        <v>53</v>
      </c>
      <c r="P73" s="47" t="s">
        <v>54</v>
      </c>
    </row>
    <row r="74" spans="2:16" ht="15.75" customHeight="1" x14ac:dyDescent="0.25">
      <c r="B74" s="126" t="s">
        <v>147</v>
      </c>
      <c r="C74" s="130" t="s">
        <v>160</v>
      </c>
      <c r="D74" s="131" t="s">
        <v>55</v>
      </c>
      <c r="E74" s="133">
        <v>0</v>
      </c>
      <c r="F74" s="133">
        <v>0</v>
      </c>
      <c r="G74" s="126" t="s">
        <v>56</v>
      </c>
      <c r="H74" s="131" t="s">
        <v>55</v>
      </c>
      <c r="I74" s="135">
        <v>214</v>
      </c>
      <c r="J74" s="133">
        <v>19</v>
      </c>
      <c r="K74" s="137">
        <f>ROUND((I74-E74)*$D$13+J74-F74,2)</f>
        <v>4299</v>
      </c>
      <c r="L74" s="126">
        <f>ROUND(K74*$D$14*(1+$D$12)*$H$13,2)</f>
        <v>6190.56</v>
      </c>
      <c r="M74" s="126">
        <f>L74*$H$12</f>
        <v>10833.480000000001</v>
      </c>
      <c r="N74" s="133">
        <v>6.32</v>
      </c>
      <c r="O74" s="126">
        <f>ROUND(K74/2000,4)</f>
        <v>2.1495000000000002</v>
      </c>
      <c r="P74" s="126">
        <f>ROUND(M74*(O74+N74),2)</f>
        <v>91754.16</v>
      </c>
    </row>
    <row r="75" spans="2:16" ht="21.75" customHeight="1" x14ac:dyDescent="0.25">
      <c r="B75" s="127"/>
      <c r="C75" s="139"/>
      <c r="D75" s="132"/>
      <c r="E75" s="134"/>
      <c r="F75" s="134"/>
      <c r="G75" s="127"/>
      <c r="H75" s="132"/>
      <c r="I75" s="136"/>
      <c r="J75" s="134"/>
      <c r="K75" s="138"/>
      <c r="L75" s="127"/>
      <c r="M75" s="127"/>
      <c r="N75" s="134"/>
      <c r="O75" s="127"/>
      <c r="P75" s="127"/>
    </row>
    <row r="76" spans="2:16" ht="10.5" customHeight="1" x14ac:dyDescent="0.25">
      <c r="B76" s="78"/>
      <c r="C76" s="78"/>
      <c r="D76" s="48"/>
      <c r="E76" s="49"/>
      <c r="F76" s="50"/>
      <c r="G76" s="78"/>
      <c r="H76" s="48"/>
      <c r="I76" s="49"/>
      <c r="J76" s="51"/>
      <c r="K76" s="52"/>
      <c r="L76" s="78"/>
      <c r="M76" s="78"/>
      <c r="N76" s="78"/>
      <c r="O76" s="78"/>
      <c r="P76" s="78"/>
    </row>
    <row r="77" spans="2:16" ht="15.75" customHeight="1" x14ac:dyDescent="0.25">
      <c r="L77" s="53" t="s">
        <v>150</v>
      </c>
      <c r="M77" s="54">
        <f>ROUND(SUM(P74:P75)/SUM(M74:M75),2)</f>
        <v>8.4700000000000006</v>
      </c>
      <c r="N77" s="55" t="s">
        <v>57</v>
      </c>
      <c r="O77" s="56"/>
    </row>
    <row r="78" spans="2:16" ht="15.75" customHeight="1" x14ac:dyDescent="0.25"/>
    <row r="79" spans="2:16" ht="33.75" customHeight="1" x14ac:dyDescent="0.25">
      <c r="B79" s="128" t="s">
        <v>108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</row>
    <row r="80" spans="2:16" ht="57" customHeight="1" x14ac:dyDescent="0.25">
      <c r="B80" s="79" t="s">
        <v>46</v>
      </c>
      <c r="C80" s="46" t="s">
        <v>47</v>
      </c>
      <c r="D80" s="129" t="s">
        <v>48</v>
      </c>
      <c r="E80" s="129"/>
      <c r="F80" s="129"/>
      <c r="G80" s="129"/>
      <c r="H80" s="129"/>
      <c r="I80" s="129"/>
      <c r="J80" s="129"/>
      <c r="K80" s="47" t="s">
        <v>49</v>
      </c>
      <c r="L80" s="47" t="s">
        <v>50</v>
      </c>
      <c r="M80" s="47" t="s">
        <v>51</v>
      </c>
      <c r="N80" s="47" t="s">
        <v>52</v>
      </c>
      <c r="O80" s="47" t="s">
        <v>53</v>
      </c>
      <c r="P80" s="47" t="s">
        <v>54</v>
      </c>
    </row>
    <row r="81" spans="2:16" ht="15.75" customHeight="1" x14ac:dyDescent="0.25">
      <c r="B81" s="126" t="s">
        <v>148</v>
      </c>
      <c r="C81" s="130" t="s">
        <v>160</v>
      </c>
      <c r="D81" s="131" t="s">
        <v>55</v>
      </c>
      <c r="E81" s="133">
        <v>0</v>
      </c>
      <c r="F81" s="133">
        <v>0</v>
      </c>
      <c r="G81" s="126" t="s">
        <v>56</v>
      </c>
      <c r="H81" s="131" t="s">
        <v>55</v>
      </c>
      <c r="I81" s="135">
        <v>382</v>
      </c>
      <c r="J81" s="133">
        <v>7</v>
      </c>
      <c r="K81" s="137">
        <f>ROUND((I81-E81)*$D$13+J81-F81,2)</f>
        <v>7647</v>
      </c>
      <c r="L81" s="126">
        <f>ROUND(K81*$D$14*(1+$D$12)*$H$13,2)</f>
        <v>11011.68</v>
      </c>
      <c r="M81" s="126">
        <f>L81*$H$12</f>
        <v>19270.440000000002</v>
      </c>
      <c r="N81" s="133">
        <v>10.199999999999999</v>
      </c>
      <c r="O81" s="126">
        <f>ROUND(K81/2000,4)</f>
        <v>3.8235000000000001</v>
      </c>
      <c r="P81" s="126">
        <f>ROUND(M81*(O81+N81),2)</f>
        <v>270239.02</v>
      </c>
    </row>
    <row r="82" spans="2:16" ht="21.75" customHeight="1" x14ac:dyDescent="0.25">
      <c r="B82" s="127"/>
      <c r="C82" s="139"/>
      <c r="D82" s="132"/>
      <c r="E82" s="134"/>
      <c r="F82" s="134"/>
      <c r="G82" s="127"/>
      <c r="H82" s="132"/>
      <c r="I82" s="136"/>
      <c r="J82" s="134"/>
      <c r="K82" s="138"/>
      <c r="L82" s="127"/>
      <c r="M82" s="127"/>
      <c r="N82" s="134"/>
      <c r="O82" s="127"/>
      <c r="P82" s="127"/>
    </row>
    <row r="83" spans="2:16" ht="10.5" customHeight="1" x14ac:dyDescent="0.25">
      <c r="B83" s="78"/>
      <c r="C83" s="78"/>
      <c r="D83" s="48"/>
      <c r="E83" s="49"/>
      <c r="F83" s="50"/>
      <c r="G83" s="78"/>
      <c r="H83" s="48"/>
      <c r="I83" s="49"/>
      <c r="J83" s="51"/>
      <c r="K83" s="52"/>
      <c r="L83" s="78"/>
      <c r="M83" s="78"/>
      <c r="N83" s="78"/>
      <c r="O83" s="78"/>
      <c r="P83" s="78"/>
    </row>
    <row r="84" spans="2:16" ht="15.75" customHeight="1" x14ac:dyDescent="0.25">
      <c r="L84" s="53" t="s">
        <v>151</v>
      </c>
      <c r="M84" s="54">
        <f>ROUND(SUM(P81:P82)/SUM(M81:M82),2)</f>
        <v>14.02</v>
      </c>
      <c r="N84" s="55" t="s">
        <v>57</v>
      </c>
      <c r="O84" s="56"/>
    </row>
    <row r="85" spans="2:16" ht="15.75" customHeight="1" x14ac:dyDescent="0.25"/>
    <row r="86" spans="2:16" ht="33.75" customHeight="1" x14ac:dyDescent="0.25">
      <c r="B86" s="128" t="s">
        <v>109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</row>
    <row r="87" spans="2:16" ht="36" x14ac:dyDescent="0.25">
      <c r="B87" s="79" t="s">
        <v>46</v>
      </c>
      <c r="C87" s="46" t="s">
        <v>47</v>
      </c>
      <c r="D87" s="129" t="s">
        <v>48</v>
      </c>
      <c r="E87" s="129"/>
      <c r="F87" s="129"/>
      <c r="G87" s="129"/>
      <c r="H87" s="129"/>
      <c r="I87" s="129"/>
      <c r="J87" s="129"/>
      <c r="K87" s="47" t="s">
        <v>49</v>
      </c>
      <c r="L87" s="47" t="s">
        <v>50</v>
      </c>
      <c r="M87" s="47" t="s">
        <v>51</v>
      </c>
      <c r="N87" s="47" t="s">
        <v>52</v>
      </c>
      <c r="O87" s="47" t="s">
        <v>53</v>
      </c>
      <c r="P87" s="47" t="s">
        <v>54</v>
      </c>
    </row>
    <row r="88" spans="2:16" ht="24.75" customHeight="1" x14ac:dyDescent="0.25">
      <c r="B88" s="126" t="s">
        <v>152</v>
      </c>
      <c r="C88" s="130" t="s">
        <v>161</v>
      </c>
      <c r="D88" s="81" t="s">
        <v>55</v>
      </c>
      <c r="E88" s="82">
        <v>0</v>
      </c>
      <c r="F88" s="82">
        <v>0</v>
      </c>
      <c r="G88" s="83" t="s">
        <v>56</v>
      </c>
      <c r="H88" s="81" t="s">
        <v>55</v>
      </c>
      <c r="I88" s="84">
        <v>19</v>
      </c>
      <c r="J88" s="82">
        <v>0</v>
      </c>
      <c r="K88" s="85">
        <f t="shared" ref="K88:K89" si="8">ROUND((I88-E88)*$D$13+J88-F88,2)</f>
        <v>380</v>
      </c>
      <c r="L88" s="83">
        <f t="shared" ref="L88:L89" si="9">ROUND(K88*$D$14*(1+$D$12)*$H$13,2)</f>
        <v>547.20000000000005</v>
      </c>
      <c r="M88" s="83">
        <f t="shared" ref="M88:M89" si="10">L88*$H$12</f>
        <v>957.60000000000014</v>
      </c>
      <c r="N88" s="83">
        <v>0.4</v>
      </c>
      <c r="O88" s="83">
        <f>ROUND(K88/2000,3)</f>
        <v>0.19</v>
      </c>
      <c r="P88" s="83">
        <f t="shared" ref="P88:P89" si="11">ROUND(M88*(O88+N88),2)</f>
        <v>564.98</v>
      </c>
    </row>
    <row r="89" spans="2:16" ht="28.5" customHeight="1" x14ac:dyDescent="0.25">
      <c r="B89" s="127"/>
      <c r="C89" s="127"/>
      <c r="D89" s="81" t="s">
        <v>55</v>
      </c>
      <c r="E89" s="84">
        <v>19</v>
      </c>
      <c r="F89" s="82">
        <v>0</v>
      </c>
      <c r="G89" s="83" t="s">
        <v>56</v>
      </c>
      <c r="H89" s="81" t="s">
        <v>55</v>
      </c>
      <c r="I89" s="84">
        <v>284</v>
      </c>
      <c r="J89" s="82">
        <v>15</v>
      </c>
      <c r="K89" s="85">
        <f t="shared" si="8"/>
        <v>5315</v>
      </c>
      <c r="L89" s="83">
        <f t="shared" si="9"/>
        <v>7653.6</v>
      </c>
      <c r="M89" s="83">
        <f t="shared" si="10"/>
        <v>13393.800000000001</v>
      </c>
      <c r="N89" s="83">
        <v>0.4</v>
      </c>
      <c r="O89" s="83">
        <f>ROUND(K89/2000,3)</f>
        <v>2.6579999999999999</v>
      </c>
      <c r="P89" s="83">
        <f t="shared" si="11"/>
        <v>40958.239999999998</v>
      </c>
    </row>
    <row r="90" spans="2:16" ht="3.75" customHeight="1" x14ac:dyDescent="0.25"/>
    <row r="91" spans="2:16" x14ac:dyDescent="0.25">
      <c r="L91" s="53" t="s">
        <v>153</v>
      </c>
      <c r="M91" s="54">
        <f>ROUND(SUM(P88:P89)/SUM(M88:M89),2)</f>
        <v>2.89</v>
      </c>
      <c r="N91" s="55" t="s">
        <v>57</v>
      </c>
    </row>
    <row r="92" spans="2:16" ht="15.75" customHeight="1" x14ac:dyDescent="0.25"/>
    <row r="93" spans="2:16" ht="33.75" customHeight="1" x14ac:dyDescent="0.25">
      <c r="B93" s="128" t="s">
        <v>110</v>
      </c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</row>
    <row r="94" spans="2:16" ht="57" customHeight="1" x14ac:dyDescent="0.25">
      <c r="B94" s="79" t="s">
        <v>46</v>
      </c>
      <c r="C94" s="46" t="s">
        <v>47</v>
      </c>
      <c r="D94" s="129" t="s">
        <v>48</v>
      </c>
      <c r="E94" s="129"/>
      <c r="F94" s="129"/>
      <c r="G94" s="129"/>
      <c r="H94" s="129"/>
      <c r="I94" s="129"/>
      <c r="J94" s="129"/>
      <c r="K94" s="47" t="s">
        <v>49</v>
      </c>
      <c r="L94" s="47" t="s">
        <v>50</v>
      </c>
      <c r="M94" s="47" t="s">
        <v>51</v>
      </c>
      <c r="N94" s="47" t="s">
        <v>52</v>
      </c>
      <c r="O94" s="47" t="s">
        <v>53</v>
      </c>
      <c r="P94" s="47" t="s">
        <v>54</v>
      </c>
    </row>
    <row r="95" spans="2:16" ht="15.75" customHeight="1" x14ac:dyDescent="0.25">
      <c r="B95" s="126" t="s">
        <v>154</v>
      </c>
      <c r="C95" s="130" t="s">
        <v>162</v>
      </c>
      <c r="D95" s="131" t="s">
        <v>55</v>
      </c>
      <c r="E95" s="133">
        <v>0</v>
      </c>
      <c r="F95" s="133">
        <v>0</v>
      </c>
      <c r="G95" s="126" t="s">
        <v>56</v>
      </c>
      <c r="H95" s="131" t="s">
        <v>55</v>
      </c>
      <c r="I95" s="135">
        <v>512</v>
      </c>
      <c r="J95" s="133">
        <v>18</v>
      </c>
      <c r="K95" s="137">
        <f>ROUND((I95-E95)*$D$13+J95-F95,2)</f>
        <v>10258</v>
      </c>
      <c r="L95" s="126">
        <f>ROUND(K95*$D$14*(1+$D$12)*$H$13,2)</f>
        <v>14771.52</v>
      </c>
      <c r="M95" s="126">
        <f>L95*$H$12</f>
        <v>25850.16</v>
      </c>
      <c r="N95" s="133">
        <v>4.4400000000000004</v>
      </c>
      <c r="O95" s="126">
        <f>ROUND(K95/2000,4)</f>
        <v>5.1289999999999996</v>
      </c>
      <c r="P95" s="126">
        <f>ROUND(M95*(O95+N95),2)</f>
        <v>247360.18</v>
      </c>
    </row>
    <row r="96" spans="2:16" ht="21.75" customHeight="1" x14ac:dyDescent="0.25">
      <c r="B96" s="127"/>
      <c r="C96" s="127"/>
      <c r="D96" s="132"/>
      <c r="E96" s="134"/>
      <c r="F96" s="134"/>
      <c r="G96" s="127"/>
      <c r="H96" s="132"/>
      <c r="I96" s="136"/>
      <c r="J96" s="134"/>
      <c r="K96" s="138"/>
      <c r="L96" s="127"/>
      <c r="M96" s="127"/>
      <c r="N96" s="134"/>
      <c r="O96" s="127"/>
      <c r="P96" s="127"/>
    </row>
    <row r="97" spans="2:16" ht="9" customHeight="1" x14ac:dyDescent="0.25">
      <c r="B97" s="78"/>
      <c r="C97" s="78"/>
      <c r="D97" s="48"/>
      <c r="E97" s="49"/>
      <c r="F97" s="50"/>
      <c r="G97" s="78"/>
      <c r="H97" s="48"/>
      <c r="I97" s="49"/>
      <c r="J97" s="51"/>
      <c r="K97" s="52"/>
      <c r="L97" s="78"/>
      <c r="M97" s="78"/>
      <c r="N97" s="78"/>
      <c r="O97" s="78"/>
      <c r="P97" s="78"/>
    </row>
    <row r="98" spans="2:16" ht="15.75" customHeight="1" x14ac:dyDescent="0.25">
      <c r="L98" s="53" t="s">
        <v>155</v>
      </c>
      <c r="M98" s="54">
        <f>ROUND(SUM(P95:P96)/SUM(M95:M96),2)</f>
        <v>9.57</v>
      </c>
      <c r="N98" s="55" t="s">
        <v>57</v>
      </c>
      <c r="O98" s="56"/>
    </row>
    <row r="99" spans="2:16" ht="15.75" customHeight="1" x14ac:dyDescent="0.25"/>
    <row r="100" spans="2:16" ht="15.75" customHeight="1" x14ac:dyDescent="0.25"/>
    <row r="101" spans="2:16" ht="15.75" customHeight="1" x14ac:dyDescent="0.25"/>
    <row r="102" spans="2:16" ht="15.75" customHeight="1" x14ac:dyDescent="0.25"/>
    <row r="103" spans="2:16" ht="15.75" customHeight="1" x14ac:dyDescent="0.25"/>
    <row r="104" spans="2:16" ht="15.75" customHeight="1" x14ac:dyDescent="0.25"/>
    <row r="105" spans="2:16" ht="15.75" customHeight="1" x14ac:dyDescent="0.25"/>
    <row r="106" spans="2:16" ht="15.75" customHeight="1" x14ac:dyDescent="0.25"/>
    <row r="107" spans="2:16" ht="15.75" customHeight="1" x14ac:dyDescent="0.25"/>
    <row r="108" spans="2:16" ht="15.75" customHeight="1" x14ac:dyDescent="0.25"/>
    <row r="109" spans="2:16" ht="15.75" customHeight="1" x14ac:dyDescent="0.25"/>
    <row r="110" spans="2:16" ht="15.75" customHeight="1" x14ac:dyDescent="0.25"/>
    <row r="111" spans="2:16" ht="15.75" customHeight="1" x14ac:dyDescent="0.25"/>
    <row r="112" spans="2:16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</sheetData>
  <mergeCells count="171">
    <mergeCell ref="D32:D33"/>
    <mergeCell ref="E32:E33"/>
    <mergeCell ref="B30:P30"/>
    <mergeCell ref="B37:P37"/>
    <mergeCell ref="F32:F33"/>
    <mergeCell ref="D38:J3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P39:P40"/>
    <mergeCell ref="K39:K40"/>
    <mergeCell ref="L39:L40"/>
    <mergeCell ref="F13:G13"/>
    <mergeCell ref="B2:P3"/>
    <mergeCell ref="B5:P5"/>
    <mergeCell ref="B6:L6"/>
    <mergeCell ref="B10:P10"/>
    <mergeCell ref="F12:G12"/>
    <mergeCell ref="K18:K19"/>
    <mergeCell ref="J18:J19"/>
    <mergeCell ref="P18:P19"/>
    <mergeCell ref="O18:O19"/>
    <mergeCell ref="N18:N19"/>
    <mergeCell ref="M18:M19"/>
    <mergeCell ref="L18:L19"/>
    <mergeCell ref="B16:P16"/>
    <mergeCell ref="D17:J17"/>
    <mergeCell ref="B18:B19"/>
    <mergeCell ref="C18:C19"/>
    <mergeCell ref="D18:D19"/>
    <mergeCell ref="E18:E19"/>
    <mergeCell ref="F18:F19"/>
    <mergeCell ref="I18:I19"/>
    <mergeCell ref="H18:H19"/>
    <mergeCell ref="G18:G19"/>
    <mergeCell ref="B46:B47"/>
    <mergeCell ref="C46:C47"/>
    <mergeCell ref="B23:P23"/>
    <mergeCell ref="D24:J24"/>
    <mergeCell ref="B25:B26"/>
    <mergeCell ref="C25:C26"/>
    <mergeCell ref="M39:M40"/>
    <mergeCell ref="N39:N40"/>
    <mergeCell ref="O39:O40"/>
    <mergeCell ref="B44:P44"/>
    <mergeCell ref="D45:J45"/>
    <mergeCell ref="P32:P33"/>
    <mergeCell ref="D31:J31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B32:B33"/>
    <mergeCell ref="C32:C33"/>
    <mergeCell ref="B51:P51"/>
    <mergeCell ref="D52:J52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58:P58"/>
    <mergeCell ref="D59:J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B65:P65"/>
    <mergeCell ref="D66:J66"/>
    <mergeCell ref="B67:B68"/>
    <mergeCell ref="C67:C68"/>
    <mergeCell ref="D67:D68"/>
    <mergeCell ref="E67:E68"/>
    <mergeCell ref="F67:F68"/>
    <mergeCell ref="G67:G68"/>
    <mergeCell ref="H67:H68"/>
    <mergeCell ref="I67:I68"/>
    <mergeCell ref="J67:J68"/>
    <mergeCell ref="K67:K68"/>
    <mergeCell ref="L67:L68"/>
    <mergeCell ref="M67:M68"/>
    <mergeCell ref="B74:B75"/>
    <mergeCell ref="C74:C75"/>
    <mergeCell ref="D74:D75"/>
    <mergeCell ref="E74:E75"/>
    <mergeCell ref="F74:F75"/>
    <mergeCell ref="N67:N68"/>
    <mergeCell ref="O67:O68"/>
    <mergeCell ref="P67:P68"/>
    <mergeCell ref="B72:P72"/>
    <mergeCell ref="D73:J73"/>
    <mergeCell ref="L74:L75"/>
    <mergeCell ref="M74:M75"/>
    <mergeCell ref="N74:N75"/>
    <mergeCell ref="O74:O75"/>
    <mergeCell ref="P74:P75"/>
    <mergeCell ref="G74:G75"/>
    <mergeCell ref="H74:H75"/>
    <mergeCell ref="I74:I75"/>
    <mergeCell ref="J74:J75"/>
    <mergeCell ref="K74:K75"/>
    <mergeCell ref="B86:P86"/>
    <mergeCell ref="D87:J87"/>
    <mergeCell ref="B88:B89"/>
    <mergeCell ref="C88:C89"/>
    <mergeCell ref="P81:P82"/>
    <mergeCell ref="B79:P79"/>
    <mergeCell ref="D80:J80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M81:M82"/>
    <mergeCell ref="N81:N82"/>
    <mergeCell ref="O81:O82"/>
    <mergeCell ref="P95:P96"/>
    <mergeCell ref="B93:P93"/>
    <mergeCell ref="D94:J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  <rowBreaks count="5" manualBreakCount="5">
    <brk id="29" max="16" man="1"/>
    <brk id="43" max="16" man="1"/>
    <brk id="57" max="16" man="1"/>
    <brk id="71" max="16" man="1"/>
    <brk id="85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CA0E6-871E-477B-AEA2-979AD476C019}">
  <dimension ref="E1:I1"/>
  <sheetViews>
    <sheetView showGridLines="0" zoomScale="85" zoomScaleNormal="85" zoomScaleSheetLayoutView="85" workbookViewId="0">
      <selection activeCell="C26" sqref="C26"/>
    </sheetView>
  </sheetViews>
  <sheetFormatPr defaultRowHeight="15.75" x14ac:dyDescent="0.25"/>
  <cols>
    <col min="1" max="1" width="6.875" style="66" customWidth="1"/>
    <col min="2" max="2" width="5" style="66" customWidth="1"/>
    <col min="3" max="3" width="54.125" style="66" customWidth="1"/>
    <col min="4" max="4" width="5.125" style="66" bestFit="1" customWidth="1"/>
    <col min="5" max="5" width="9" style="68"/>
    <col min="6" max="6" width="11.375" style="68" customWidth="1"/>
    <col min="7" max="7" width="13.75" style="67" bestFit="1" customWidth="1"/>
    <col min="8" max="8" width="9.375" style="67" customWidth="1"/>
    <col min="9" max="9" width="14.25" style="67" customWidth="1"/>
    <col min="10" max="10" width="16.25" style="66" customWidth="1"/>
    <col min="11" max="11" width="14" style="66" customWidth="1"/>
    <col min="12" max="16384" width="9" style="66"/>
  </cols>
  <sheetData/>
  <printOptions horizontalCentered="1"/>
  <pageMargins left="0.27559055118110237" right="0.31496062992125984" top="0.31496062992125984" bottom="0.62992125984251968" header="0.31496062992125984" footer="0.15748031496062992"/>
  <pageSetup paperSize="9" orientation="landscape" r:id="rId1"/>
  <headerFooter>
    <oddFooter>&amp;CPágina &amp;P de &amp;N&amp;R&amp;G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0EEEB2B-A90C-4A7A-A161-39669AE44B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MEMORIA</vt:lpstr>
      <vt:lpstr>D.M.T</vt:lpstr>
      <vt:lpstr>0</vt:lpstr>
      <vt:lpstr>D.M.T!Area_de_impressao</vt:lpstr>
      <vt:lpstr>MEMORIA!Area_de_impressao</vt:lpstr>
      <vt:lpstr>D.M.T!Titulos_de_impressao</vt:lpstr>
      <vt:lpstr>MEMORIA!Titulos_de_impressao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cliente</dc:creator>
  <cp:keywords/>
  <cp:lastModifiedBy>Gleyci</cp:lastModifiedBy>
  <cp:lastPrinted>2024-02-01T12:27:01Z</cp:lastPrinted>
  <dcterms:created xsi:type="dcterms:W3CDTF">2017-04-19T20:04:42Z</dcterms:created>
  <dcterms:modified xsi:type="dcterms:W3CDTF">2024-03-05T18:02:39Z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TC034289909991</vt:lpwstr>
  </property>
</Properties>
</file>